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8.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9.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10.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1.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3.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4.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15.xml" ContentType="application/vnd.openxmlformats-officedocument.drawing+xml"/>
  <Override PartName="/xl/ctrlProps/ctrlProp51.xml" ContentType="application/vnd.ms-excel.controlproperties+xml"/>
  <Override PartName="/xl/ctrlProps/ctrlProp52.xml" ContentType="application/vnd.ms-excel.controlproperties+xml"/>
  <Override PartName="/xl/drawings/drawing16.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7.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9.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0.xml" ContentType="application/vnd.openxmlformats-officedocument.drawing+xml"/>
  <Override PartName="/xl/ctrlProps/ctrlProp65.xml" ContentType="application/vnd.ms-excel.controlproperties+xml"/>
  <Override PartName="/xl/ctrlProps/ctrlProp66.xml" ContentType="application/vnd.ms-excel.controlproperties+xml"/>
  <Override PartName="/xl/drawings/drawing21.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22.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23.xml" ContentType="application/vnd.openxmlformats-officedocument.drawing+xml"/>
  <Override PartName="/xl/ctrlProps/ctrlProp73.xml" ContentType="application/vnd.ms-excel.controlproperties+xml"/>
  <Override PartName="/xl/ctrlProps/ctrlProp74.xml" ContentType="application/vnd.ms-excel.controlproperties+xml"/>
  <Override PartName="/xl/drawings/drawing24.xml" ContentType="application/vnd.openxmlformats-officedocument.drawing+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aldem-my.sharepoint.com/personal/luke_johnson_adem_alabama_gov/Documents/Web/Modifications/2025/(2) February 2025/"/>
    </mc:Choice>
  </mc:AlternateContent>
  <xr:revisionPtr revIDLastSave="0" documentId="8_{B76B5CBC-60FB-4243-86D6-BA4E33124727}" xr6:coauthVersionLast="47" xr6:coauthVersionMax="47" xr10:uidLastSave="{00000000-0000-0000-0000-000000000000}"/>
  <workbookProtection workbookAlgorithmName="SHA-512" workbookHashValue="2W/HHS8M8fjlY/bQLGQ+L8XGpKteMJGiz045ME1M+ApmfmJss1eGU25qAMNKGsD9eU48NwS/xztqxO6PpcsfiA==" workbookSaltValue="zaoPbH4c6RggpI68R93rMQ==" workbookSpinCount="100000" lockStructure="1"/>
  <bookViews>
    <workbookView xWindow="384" yWindow="384" windowWidth="17280" windowHeight="8928" tabRatio="959" xr2:uid="{00000000-000D-0000-FFFF-FFFF00000000}"/>
  </bookViews>
  <sheets>
    <sheet name="MAIN TAB" sheetId="1" r:id="rId1"/>
    <sheet name="Fiscal Cover" sheetId="43" state="hidden" r:id="rId2"/>
    <sheet name="CP Part I Info" sheetId="2" state="hidden" r:id="rId3"/>
    <sheet name="CP Part I Page 2" sheetId="3" state="hidden" r:id="rId4"/>
    <sheet name="CP Part I Total" sheetId="4" state="hidden" r:id="rId5"/>
    <sheet name="Cost Summary" sheetId="5" state="veryHidden" r:id="rId6"/>
    <sheet name="Form &quot;A&quot; Office" sheetId="6" state="hidden" r:id="rId7"/>
    <sheet name="PR Part I Info" sheetId="7" state="hidden" r:id="rId8"/>
    <sheet name="PR Part I Page 2" sheetId="8" state="hidden" r:id="rId9"/>
    <sheet name="PR Part I Signatures" sheetId="9" state="hidden" r:id="rId10"/>
    <sheet name="PR Part I Total" sheetId="10" state="hidden" r:id="rId11"/>
    <sheet name="PR Form &quot;A&quot; Office" sheetId="11" state="hidden" r:id="rId12"/>
    <sheet name="PR Form &quot;B&quot; Field" sheetId="12" state="hidden" r:id="rId13"/>
    <sheet name="Postage shipping" sheetId="13" state="hidden" r:id="rId14"/>
    <sheet name="Equipment" sheetId="14" state="hidden" r:id="rId15"/>
    <sheet name="Maximum Rates" sheetId="15" r:id="rId16"/>
    <sheet name="Form &quot;B&quot; Field" sheetId="16" state="hidden" r:id="rId17"/>
    <sheet name="PR Form &quot;C&quot; Drilling" sheetId="17" state="hidden" r:id="rId18"/>
    <sheet name="PR Form &quot;D&quot; Other" sheetId="18" state="hidden" r:id="rId19"/>
    <sheet name="Field Breakout" sheetId="19" state="veryHidden" r:id="rId20"/>
    <sheet name="Office Breakout" sheetId="20" state="veryHidden" r:id="rId21"/>
    <sheet name="Initial Abatement" sheetId="21" state="hidden" r:id="rId22"/>
    <sheet name=" Field Task" sheetId="22" state="hidden" r:id="rId23"/>
    <sheet name="Prelm Rprt" sheetId="23" state="hidden" r:id="rId24"/>
    <sheet name="Scdry additional well Plan Rpt" sheetId="24" state="hidden" r:id="rId25"/>
    <sheet name="NAMR GWM PLAN RPRT" sheetId="25" state="hidden" r:id="rId26"/>
    <sheet name="FP PlanReportMEMEField" sheetId="26" state="hidden" r:id="rId27"/>
    <sheet name="ARBCA" sheetId="27" state="hidden" r:id="rId28"/>
    <sheet name="Corrective Action Plans" sheetId="28" state="hidden" r:id="rId29"/>
    <sheet name="Corrective Action Reports Eng" sheetId="29" state="hidden" r:id="rId30"/>
    <sheet name="MW Abandon Plan Report Field" sheetId="30" state="hidden" r:id="rId31"/>
    <sheet name="Aquifer Pilot Pl Rpt Fld" sheetId="31" state="hidden" r:id="rId32"/>
    <sheet name="MISC Plans Reports" sheetId="32" state="hidden" r:id="rId33"/>
    <sheet name="PR Summary" sheetId="40" state="hidden" r:id="rId34"/>
    <sheet name="PR Form &quot;E&quot; Per Diem" sheetId="42" state="hidden" r:id="rId35"/>
    <sheet name="Form &quot;C&quot; Drilling" sheetId="33" state="hidden" r:id="rId36"/>
    <sheet name="Form &quot;D&quot; Other" sheetId="34" state="hidden" r:id="rId37"/>
    <sheet name="PR Form &quot;F&quot; Details" sheetId="35" state="hidden" r:id="rId38"/>
    <sheet name="Summary" sheetId="38" state="veryHidden" r:id="rId39"/>
    <sheet name="Form &quot;E&quot; Per Diem" sheetId="41" state="hidden" r:id="rId40"/>
    <sheet name="Form &quot;F&quot; Details" sheetId="36" state="hidden" r:id="rId41"/>
    <sheet name="Form &quot;G&quot; Quote Details" sheetId="37" state="hidden" r:id="rId42"/>
    <sheet name="PR Form &quot;G&quot; Quote Details" sheetId="39" state="hidden" r:id="rId43"/>
  </sheets>
  <definedNames>
    <definedName name="_xlnm._FilterDatabase" localSheetId="6" hidden="1">'Form "A" Office'!$J$2:$J$126</definedName>
    <definedName name="_xlnm._FilterDatabase" localSheetId="16" hidden="1">'Form "B" Field'!$K$1:$K$122</definedName>
    <definedName name="daily">'Maximum Rates'!$D$13</definedName>
    <definedName name="Drilling">'Form "C" Drilling'!$I$22,'Form "C" Drilling'!$F$8:$F$20,'Form "C" Drilling'!$E$20,'Form "C" Drilling'!$G$7,'Form "C" Drilling'!#REF!</definedName>
    <definedName name="extend">'Maximum Rates'!$D$14</definedName>
    <definedName name="Field">'Form "B" Field'!$J$122,'Form "B" Field'!$J$121,'Form "B" Field'!$J$120,'Form "B" Field'!$J$101:$J$118,'Form "B" Field'!$J$95:$J$97,'Form "B" Field'!$J$90:$J$93,'Form "B" Field'!$J$85,'Form "B" Field'!$J$86:$J$88,'Form "B" Field'!$F$156,'Form "B" Field'!$I$127:$J$156,'Form "B" Field'!$G$81,'Form "B" Field'!$J$55:$J$81,'Form "B" Field'!#REF!,'Form "B" Field'!$J$50:$J$54,'Form "B" Field'!$J$47,'Form "B" Field'!$J$43:$J$45,'Form "B" Field'!$J$25:$J$42,'Form "B" Field'!$J$18:$J$23,'Form "B" Field'!#REF!,'Form "B" Field'!$J$10:$J$15</definedName>
    <definedName name="Office">'Form "A" Office'!$H$122,'Form "A" Office'!$J$93:$J$122,'Form "A" Office'!$J$90:$J$92,'Form "A" Office'!$J$77:$J$80,'Form "A" Office'!#REF!,'Form "A" Office'!$J$74:$J$75,'Form "A" Office'!#REF!,'Form "A" Office'!$J$61:$J$72,'Form "A" Office'!$J$51:$J$58,'Form "A" Office'!$J$48:$J$49,'Form "A" Office'!$J$31:$J$33,'Form "A" Office'!$J$26:$J$29,'Form "A" Office'!$J$24,'Form "A" Office'!$J$9:$J$21,'Form "A" Office'!$J$9</definedName>
    <definedName name="other">'Form "D" Other'!$F$11:$G$55,'Form "D" Other'!$J$9,'Form "D" Other'!$I$9,'Form "D" Other'!$I$8,'Form "D" Other'!$J$8,'Form "D" Other'!$I$7,'Form "D" Other'!$J$7</definedName>
    <definedName name="over">'Maximum Rates'!$D$15</definedName>
    <definedName name="pass">'Form "B" Field'!$E$130:$E$131</definedName>
    <definedName name="_xlnm.Print_Area" localSheetId="5">'Cost Summary'!$A$1:$I$37</definedName>
    <definedName name="_xlnm.Print_Area" localSheetId="2">'CP Part I Info'!$B$2:$I$33</definedName>
    <definedName name="_xlnm.Print_Area" localSheetId="3">'CP Part I Page 2'!$B$2:$I$45</definedName>
    <definedName name="_xlnm.Print_Area" localSheetId="4">'CP Part I Total'!$B$2:$I$45</definedName>
    <definedName name="_xlnm.Print_Area" localSheetId="6">'Form "A" Office'!$B$2:$K$124</definedName>
    <definedName name="_xlnm.Print_Area" localSheetId="16">'Form "B" Field'!$B$2:$K$167</definedName>
    <definedName name="_xlnm.Print_Area" localSheetId="35">'Form "C" Drilling'!$B$2:$K$60</definedName>
    <definedName name="_xlnm.Print_Area" localSheetId="36">'Form "D" Other'!$B$2:$K$56</definedName>
    <definedName name="_xlnm.Print_Area" localSheetId="39">'Form "E" Per Diem'!$B$3:$K$160</definedName>
    <definedName name="_xlnm.Print_Area" localSheetId="40">'Form "F" Details'!$B$3:$K$116</definedName>
    <definedName name="_xlnm.Print_Area" localSheetId="41">'Form "G" Quote Details'!$B$2:$K$55</definedName>
    <definedName name="_xlnm.Print_Area" localSheetId="0">'MAIN TAB'!$C$1:$K$22</definedName>
    <definedName name="_xlnm.Print_Area" localSheetId="11">'PR Form "A" Office'!$B$2:$K$125</definedName>
    <definedName name="_xlnm.Print_Area" localSheetId="12">'PR Form "B" Field'!$B$2:$K$168</definedName>
    <definedName name="_xlnm.Print_Area" localSheetId="17">'PR Form "C" Drilling'!$B$2:$K$61</definedName>
    <definedName name="_xlnm.Print_Area" localSheetId="18">'PR Form "D" Other'!$B$2:$K$56</definedName>
    <definedName name="_xlnm.Print_Area" localSheetId="34">'PR Form "E" Per Diem'!$B$2:$K$54</definedName>
    <definedName name="_xlnm.Print_Area" localSheetId="37">'PR Form "F" Details'!$B$2:$L$117</definedName>
    <definedName name="_xlnm.Print_Area" localSheetId="42">'PR Form "G" Quote Details'!$B$2:$K$56</definedName>
    <definedName name="_xlnm.Print_Area" localSheetId="7">'PR Part I Info'!$B$2:$I$46</definedName>
    <definedName name="_xlnm.Print_Area" localSheetId="8">'PR Part I Page 2'!$B$2:$I$43</definedName>
    <definedName name="_xlnm.Print_Area" localSheetId="9">'PR Part I Signatures'!$B$2:$J$24</definedName>
    <definedName name="_xlnm.Print_Area" localSheetId="10">'PR Part I Total'!$B$2:$J$41</definedName>
    <definedName name="_xlnm.Print_Area" localSheetId="33">'PR Summary'!$B:$K</definedName>
    <definedName name="_xlnm.Print_Area" localSheetId="38">Summary!$B:$K</definedName>
    <definedName name="_xlnm.Print_Titles" localSheetId="6">'Form "A" Office'!$3:$6</definedName>
    <definedName name="_xlnm.Print_Titles" localSheetId="16">'Form "B" Field'!$2:$5</definedName>
    <definedName name="_xlnm.Print_Titles" localSheetId="36">'Form "D" Other'!$2:$6</definedName>
    <definedName name="_xlnm.Print_Titles" localSheetId="15">'Maximum Rates'!$2:$2</definedName>
    <definedName name="_xlnm.Print_Titles" localSheetId="11">'PR Form "A" Office'!$2:$4</definedName>
    <definedName name="_xlnm.Print_Titles" localSheetId="12">'PR Form "B" Field'!$2:$6</definedName>
    <definedName name="_xlnm.Print_Titles" localSheetId="18">'PR Form "D" Other'!$2:$6</definedName>
    <definedName name="_xlnm.Print_Titles" localSheetId="33">'PR Summary'!$3:$5</definedName>
    <definedName name="_xlnm.Print_Titles" localSheetId="38">Summary!$3:$5</definedName>
    <definedName name="Round">'Form "E" Per Diem'!$L$2</definedName>
    <definedName name="Z_BC429C65_53B8_4F97_88D2_74ECCD734800_.wvu.Cols" localSheetId="21" hidden="1">'Initial Abatement'!$A:$A</definedName>
    <definedName name="Z_BC429C65_53B8_4F97_88D2_74ECCD734800_.wvu.Cols" localSheetId="15" hidden="1">'Maximum Rates'!$F:$F</definedName>
    <definedName name="Z_BC429C65_53B8_4F97_88D2_74ECCD734800_.wvu.FilterData" localSheetId="6" hidden="1">'Form "A" Office'!$J$2:$J$126</definedName>
    <definedName name="Z_BC429C65_53B8_4F97_88D2_74ECCD734800_.wvu.FilterData" localSheetId="16" hidden="1">'Form "B" Field'!$K$1:$K$122</definedName>
    <definedName name="Z_BC429C65_53B8_4F97_88D2_74ECCD734800_.wvu.PrintArea" localSheetId="22" hidden="1">' Field Task'!$B$1:$I$141</definedName>
    <definedName name="Z_BC429C65_53B8_4F97_88D2_74ECCD734800_.wvu.PrintArea" localSheetId="31" hidden="1">'Aquifer Pilot Pl Rpt Fld'!$B$2:$M$74</definedName>
    <definedName name="Z_BC429C65_53B8_4F97_88D2_74ECCD734800_.wvu.PrintArea" localSheetId="27" hidden="1">ARBCA!$B$2:$M$91</definedName>
    <definedName name="Z_BC429C65_53B8_4F97_88D2_74ECCD734800_.wvu.PrintArea" localSheetId="28" hidden="1">'Corrective Action Plans'!$B$2:$M$178</definedName>
    <definedName name="Z_BC429C65_53B8_4F97_88D2_74ECCD734800_.wvu.PrintArea" localSheetId="29" hidden="1">'Corrective Action Reports Eng'!$B$2:$M$159</definedName>
    <definedName name="Z_BC429C65_53B8_4F97_88D2_74ECCD734800_.wvu.PrintArea" localSheetId="5" hidden="1">'Cost Summary'!$A$1:$I$37</definedName>
    <definedName name="Z_BC429C65_53B8_4F97_88D2_74ECCD734800_.wvu.PrintArea" localSheetId="2" hidden="1">'CP Part I Info'!$B$2:$I$31</definedName>
    <definedName name="Z_BC429C65_53B8_4F97_88D2_74ECCD734800_.wvu.PrintArea" localSheetId="3" hidden="1">'CP Part I Page 2'!$B$4:$I$39</definedName>
    <definedName name="Z_BC429C65_53B8_4F97_88D2_74ECCD734800_.wvu.PrintArea" localSheetId="4" hidden="1">'CP Part I Total'!$B$4:$I$45</definedName>
    <definedName name="Z_BC429C65_53B8_4F97_88D2_74ECCD734800_.wvu.PrintArea" localSheetId="14" hidden="1">Equipment!$A$1:$J$155</definedName>
    <definedName name="Z_BC429C65_53B8_4F97_88D2_74ECCD734800_.wvu.PrintArea" localSheetId="6" hidden="1">'Form "A" Office'!$B$2:$K$125</definedName>
    <definedName name="Z_BC429C65_53B8_4F97_88D2_74ECCD734800_.wvu.PrintArea" localSheetId="16" hidden="1">'Form "B" Field'!$B$2:$K$122</definedName>
    <definedName name="Z_BC429C65_53B8_4F97_88D2_74ECCD734800_.wvu.PrintArea" localSheetId="35" hidden="1">'Form "C" Drilling'!$B$2:$K$60</definedName>
    <definedName name="Z_BC429C65_53B8_4F97_88D2_74ECCD734800_.wvu.PrintArea" localSheetId="36" hidden="1">'Form "D" Other'!$B$2:$K$56</definedName>
    <definedName name="Z_BC429C65_53B8_4F97_88D2_74ECCD734800_.wvu.PrintArea" localSheetId="40" hidden="1">'Form "F" Details'!$B$2:$K$68</definedName>
    <definedName name="Z_BC429C65_53B8_4F97_88D2_74ECCD734800_.wvu.PrintArea" localSheetId="41" hidden="1">'Form "G" Quote Details'!$B$2:$K$55</definedName>
    <definedName name="Z_BC429C65_53B8_4F97_88D2_74ECCD734800_.wvu.PrintArea" localSheetId="26" hidden="1">'FP PlanReportMEMEField'!$B$1:$L$125</definedName>
    <definedName name="Z_BC429C65_53B8_4F97_88D2_74ECCD734800_.wvu.PrintArea" localSheetId="21" hidden="1">'Initial Abatement'!$C$1:$N$46</definedName>
    <definedName name="Z_BC429C65_53B8_4F97_88D2_74ECCD734800_.wvu.PrintArea" localSheetId="0" hidden="1">'MAIN TAB'!$C$1:$K$22</definedName>
    <definedName name="Z_BC429C65_53B8_4F97_88D2_74ECCD734800_.wvu.PrintArea" localSheetId="15" hidden="1">'Maximum Rates'!$B$2:$L$87</definedName>
    <definedName name="Z_BC429C65_53B8_4F97_88D2_74ECCD734800_.wvu.PrintArea" localSheetId="32" hidden="1">'MISC Plans Reports'!$B$2:$L$204</definedName>
    <definedName name="Z_BC429C65_53B8_4F97_88D2_74ECCD734800_.wvu.PrintArea" localSheetId="30" hidden="1">'MW Abandon Plan Report Field'!$B$2:$M$99</definedName>
    <definedName name="Z_BC429C65_53B8_4F97_88D2_74ECCD734800_.wvu.PrintArea" localSheetId="25" hidden="1">'NAMR GWM PLAN RPRT'!$B$1:$M$49</definedName>
    <definedName name="Z_BC429C65_53B8_4F97_88D2_74ECCD734800_.wvu.PrintArea" localSheetId="13" hidden="1">'Postage shipping'!$A$2:$G$11</definedName>
    <definedName name="Z_BC429C65_53B8_4F97_88D2_74ECCD734800_.wvu.PrintArea" localSheetId="11" hidden="1">'PR Form "A" Office'!$B$2:$K$126</definedName>
    <definedName name="Z_BC429C65_53B8_4F97_88D2_74ECCD734800_.wvu.PrintArea" localSheetId="12" hidden="1">'PR Form "B" Field'!$B$2:$K$124</definedName>
    <definedName name="Z_BC429C65_53B8_4F97_88D2_74ECCD734800_.wvu.PrintArea" localSheetId="17" hidden="1">'PR Form "C" Drilling'!$B$2:$K$61</definedName>
    <definedName name="Z_BC429C65_53B8_4F97_88D2_74ECCD734800_.wvu.PrintArea" localSheetId="18" hidden="1">'PR Form "D" Other'!$B$2:$K$56</definedName>
    <definedName name="Z_BC429C65_53B8_4F97_88D2_74ECCD734800_.wvu.PrintArea" localSheetId="37" hidden="1">'PR Form "F" Details'!$B$2:$L$68</definedName>
    <definedName name="Z_BC429C65_53B8_4F97_88D2_74ECCD734800_.wvu.PrintArea" localSheetId="42" hidden="1">'PR Form "G" Quote Details'!$B$2:$K$56</definedName>
    <definedName name="Z_BC429C65_53B8_4F97_88D2_74ECCD734800_.wvu.PrintArea" localSheetId="7" hidden="1">'PR Part I Info'!$B$2:$I$44</definedName>
    <definedName name="Z_BC429C65_53B8_4F97_88D2_74ECCD734800_.wvu.PrintArea" localSheetId="8" hidden="1">'PR Part I Page 2'!$B$4:$I$41</definedName>
    <definedName name="Z_BC429C65_53B8_4F97_88D2_74ECCD734800_.wvu.PrintArea" localSheetId="9" hidden="1">'PR Part I Signatures'!$B$4:$J$24</definedName>
    <definedName name="Z_BC429C65_53B8_4F97_88D2_74ECCD734800_.wvu.PrintArea" localSheetId="10" hidden="1">'PR Part I Total'!$B$4:$J$41</definedName>
    <definedName name="Z_BC429C65_53B8_4F97_88D2_74ECCD734800_.wvu.PrintArea" localSheetId="23" hidden="1">'Prelm Rprt'!$A$1:$L$33</definedName>
    <definedName name="Z_BC429C65_53B8_4F97_88D2_74ECCD734800_.wvu.PrintArea" localSheetId="24" hidden="1">'Scdry additional well Plan Rpt'!$A$1:$L$119</definedName>
    <definedName name="Z_BC429C65_53B8_4F97_88D2_74ECCD734800_.wvu.PrintTitles" localSheetId="6" hidden="1">'Form "A" Office'!$3:$6</definedName>
    <definedName name="Z_BC429C65_53B8_4F97_88D2_74ECCD734800_.wvu.PrintTitles" localSheetId="16" hidden="1">'Form "B" Field'!$2:$5</definedName>
    <definedName name="Z_BC429C65_53B8_4F97_88D2_74ECCD734800_.wvu.PrintTitles" localSheetId="40" hidden="1">'Form "F" Details'!$2:$4</definedName>
    <definedName name="Z_BC429C65_53B8_4F97_88D2_74ECCD734800_.wvu.PrintTitles" localSheetId="11" hidden="1">'PR Form "A" Office'!$2:$4</definedName>
    <definedName name="Z_BC429C65_53B8_4F97_88D2_74ECCD734800_.wvu.PrintTitles" localSheetId="12" hidden="1">'PR Form "B" Field'!$2:$6</definedName>
    <definedName name="Z_BC429C65_53B8_4F97_88D2_74ECCD734800_.wvu.PrintTitles" localSheetId="37" hidden="1">'PR Form "F" Details'!$2:$4</definedName>
    <definedName name="Z_BC429C65_53B8_4F97_88D2_74ECCD734800_.wvu.Rows" localSheetId="19" hidden="1">'Field Breakout'!$91:$99</definedName>
    <definedName name="Z_BC429C65_53B8_4F97_88D2_74ECCD734800_.wvu.Rows" localSheetId="16" hidden="1">'Form "B" Field'!#REF!</definedName>
    <definedName name="Z_BC429C65_53B8_4F97_88D2_74ECCD734800_.wvu.Rows" localSheetId="26" hidden="1">'FP PlanReportMEMEField'!$21:$64</definedName>
    <definedName name="Z_BC429C65_53B8_4F97_88D2_74ECCD734800_.wvu.Rows" localSheetId="21" hidden="1">'Initial Abatement'!$21:$21</definedName>
    <definedName name="Z_BC429C65_53B8_4F97_88D2_74ECCD734800_.wvu.Rows" localSheetId="12" hidden="1">'PR Form "B" Field'!#REF!,'PR Form "B" Field'!#REF!</definedName>
    <definedName name="Z_BC429C65_53B8_4F97_88D2_74ECCD734800_.wvu.Rows" localSheetId="17" hidden="1">'PR Form "C" Drilling'!#REF!,'PR Form "C" Drilling'!#REF!</definedName>
  </definedNames>
  <calcPr calcId="191029"/>
  <customWorkbookViews>
    <customWorkbookView name="risins - Personal View" guid="{BC429C65-53B8-4F97-88D2-74ECCD734800}" mergeInterval="0" personalView="1" maximized="1" xWindow="1" yWindow="1" windowWidth="1280" windowHeight="778" tabRatio="974" activeSheetId="1" showFormulaBar="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38" l="1"/>
  <c r="F5" i="38"/>
  <c r="E5" i="38"/>
  <c r="C5" i="38"/>
  <c r="J5" i="40"/>
  <c r="H5" i="40"/>
  <c r="G5" i="40"/>
  <c r="D5" i="40"/>
  <c r="F133" i="16"/>
  <c r="I46" i="17"/>
  <c r="R97" i="42" l="1"/>
  <c r="R45" i="42"/>
  <c r="R46" i="42"/>
  <c r="R47" i="42"/>
  <c r="R48" i="42"/>
  <c r="R49" i="42"/>
  <c r="R50" i="42"/>
  <c r="R51" i="42"/>
  <c r="R52" i="42"/>
  <c r="R53" i="42"/>
  <c r="R98" i="42"/>
  <c r="R99" i="42"/>
  <c r="R100" i="42"/>
  <c r="R101" i="42"/>
  <c r="R102" i="42"/>
  <c r="R103" i="42"/>
  <c r="R104" i="42"/>
  <c r="R105" i="42"/>
  <c r="R106" i="42"/>
  <c r="R150" i="42"/>
  <c r="R151" i="42"/>
  <c r="R152" i="42"/>
  <c r="R153" i="42"/>
  <c r="R154" i="42"/>
  <c r="R155" i="42"/>
  <c r="R156" i="42"/>
  <c r="R157" i="42"/>
  <c r="R158" i="42"/>
  <c r="R159" i="42"/>
  <c r="R44" i="42"/>
  <c r="K7" i="33"/>
  <c r="K10" i="33"/>
  <c r="H98" i="16" l="1"/>
  <c r="H97" i="16"/>
  <c r="G97" i="12"/>
  <c r="L139" i="42" l="1"/>
  <c r="L140" i="42"/>
  <c r="L141" i="42"/>
  <c r="L142" i="42"/>
  <c r="L143" i="42"/>
  <c r="L144" i="42"/>
  <c r="L145" i="42"/>
  <c r="L146" i="42"/>
  <c r="L147" i="42"/>
  <c r="L151" i="42"/>
  <c r="L152" i="42"/>
  <c r="L153" i="42"/>
  <c r="L154" i="42"/>
  <c r="L155" i="42"/>
  <c r="L156" i="42"/>
  <c r="L157" i="42"/>
  <c r="L158" i="42"/>
  <c r="L159" i="42"/>
  <c r="L98" i="42"/>
  <c r="L99" i="42"/>
  <c r="L100" i="42"/>
  <c r="L101" i="42"/>
  <c r="L102" i="42"/>
  <c r="L103" i="42"/>
  <c r="L104" i="42"/>
  <c r="L105" i="42"/>
  <c r="L106" i="42"/>
  <c r="L86" i="42"/>
  <c r="L87" i="42"/>
  <c r="L88" i="42"/>
  <c r="L89" i="42"/>
  <c r="L90" i="42"/>
  <c r="L91" i="42"/>
  <c r="L92" i="42"/>
  <c r="L93" i="42"/>
  <c r="L94" i="42"/>
  <c r="L150" i="42"/>
  <c r="L138" i="42"/>
  <c r="L97" i="42"/>
  <c r="L85" i="42"/>
  <c r="L45" i="42"/>
  <c r="L46" i="42"/>
  <c r="L47" i="42"/>
  <c r="L48" i="42"/>
  <c r="L49" i="42"/>
  <c r="L50" i="42"/>
  <c r="L51" i="42"/>
  <c r="L52" i="42"/>
  <c r="L53" i="42"/>
  <c r="L33" i="42"/>
  <c r="L34" i="42"/>
  <c r="L35" i="42"/>
  <c r="L36" i="42"/>
  <c r="L37" i="42"/>
  <c r="L38" i="42"/>
  <c r="L39" i="42"/>
  <c r="L40" i="42"/>
  <c r="L41" i="42"/>
  <c r="L44" i="42"/>
  <c r="L32" i="42"/>
  <c r="K95" i="42" l="1"/>
  <c r="K160" i="42"/>
  <c r="K107" i="42"/>
  <c r="K54" i="42"/>
  <c r="K42" i="42"/>
  <c r="R3" i="42" l="1"/>
  <c r="N3" i="42"/>
  <c r="J98" i="12" s="1"/>
  <c r="G107" i="42"/>
  <c r="G54" i="42"/>
  <c r="L63" i="41"/>
  <c r="L151" i="41"/>
  <c r="L152" i="41"/>
  <c r="L153" i="41"/>
  <c r="L154" i="41"/>
  <c r="L155" i="41"/>
  <c r="L156" i="41"/>
  <c r="L157" i="41"/>
  <c r="L158" i="41"/>
  <c r="L159" i="41"/>
  <c r="L139" i="41"/>
  <c r="L140" i="41"/>
  <c r="L141" i="41"/>
  <c r="L142" i="41"/>
  <c r="L143" i="41"/>
  <c r="L144" i="41"/>
  <c r="L145" i="41"/>
  <c r="L146" i="41"/>
  <c r="L147" i="41"/>
  <c r="L150" i="41"/>
  <c r="L138" i="41"/>
  <c r="L98" i="41"/>
  <c r="L99" i="41"/>
  <c r="L100" i="41"/>
  <c r="L101" i="41"/>
  <c r="L102" i="41"/>
  <c r="L103" i="41"/>
  <c r="L104" i="41"/>
  <c r="L105" i="41"/>
  <c r="L106" i="41"/>
  <c r="L97" i="41"/>
  <c r="L94" i="41"/>
  <c r="L93" i="41"/>
  <c r="L92" i="41"/>
  <c r="L91" i="41"/>
  <c r="L90" i="41"/>
  <c r="L89" i="41"/>
  <c r="L88" i="41"/>
  <c r="L87" i="41"/>
  <c r="L86" i="41"/>
  <c r="L85" i="41"/>
  <c r="L45" i="41"/>
  <c r="L46" i="41"/>
  <c r="L47" i="41"/>
  <c r="L48" i="41"/>
  <c r="L49" i="41"/>
  <c r="L50" i="41"/>
  <c r="L51" i="41"/>
  <c r="L52" i="41"/>
  <c r="L53" i="41"/>
  <c r="L44" i="41"/>
  <c r="L33" i="41"/>
  <c r="L34" i="41"/>
  <c r="L35" i="41"/>
  <c r="L36" i="41"/>
  <c r="L37" i="41"/>
  <c r="L38" i="41"/>
  <c r="L39" i="41"/>
  <c r="L40" i="41"/>
  <c r="L41" i="41"/>
  <c r="L32" i="41"/>
  <c r="K46" i="17"/>
  <c r="G46" i="17"/>
  <c r="G45" i="17"/>
  <c r="K45" i="33"/>
  <c r="H44" i="33"/>
  <c r="H45" i="33"/>
  <c r="K107" i="41" l="1"/>
  <c r="K148" i="41"/>
  <c r="K95" i="41"/>
  <c r="K54" i="41"/>
  <c r="K160" i="41"/>
  <c r="K42" i="41"/>
  <c r="G106" i="12"/>
  <c r="H107" i="16"/>
  <c r="M54" i="41" l="1"/>
  <c r="J98" i="16" s="1"/>
  <c r="M42" i="41"/>
  <c r="G9" i="17"/>
  <c r="G6" i="17"/>
  <c r="H9" i="33"/>
  <c r="H6" i="33"/>
  <c r="N23" i="41" l="1"/>
  <c r="J97" i="16"/>
  <c r="N24" i="41"/>
  <c r="L10" i="42"/>
  <c r="D17" i="7" l="1"/>
  <c r="B8" i="7"/>
  <c r="L94" i="20" l="1"/>
  <c r="L95" i="20"/>
  <c r="J277" i="32"/>
  <c r="L277" i="32" s="1"/>
  <c r="J95" i="20" s="1"/>
  <c r="J274" i="32"/>
  <c r="L274" i="32" s="1"/>
  <c r="I95" i="20" s="1"/>
  <c r="J271" i="32"/>
  <c r="L271" i="32" s="1"/>
  <c r="H94" i="20" s="1"/>
  <c r="J268" i="32"/>
  <c r="L268" i="32" s="1"/>
  <c r="G94" i="20" s="1"/>
  <c r="J265" i="32"/>
  <c r="L265" i="32" s="1"/>
  <c r="F95" i="20" s="1"/>
  <c r="I94" i="20" l="1"/>
  <c r="P94" i="20" s="1"/>
  <c r="H95" i="20"/>
  <c r="O95" i="20" s="1"/>
  <c r="G95" i="20"/>
  <c r="F94" i="20"/>
  <c r="M94" i="20" s="1"/>
  <c r="O94" i="20"/>
  <c r="N94" i="20"/>
  <c r="J94" i="20"/>
  <c r="Q94" i="20" s="1"/>
  <c r="N95" i="20"/>
  <c r="Q95" i="20"/>
  <c r="M95" i="20"/>
  <c r="P95" i="20"/>
  <c r="L279" i="32"/>
  <c r="I112" i="11"/>
  <c r="I113" i="11"/>
  <c r="I114" i="11"/>
  <c r="K112" i="11"/>
  <c r="K113" i="11"/>
  <c r="K114" i="11"/>
  <c r="K114" i="6"/>
  <c r="K112" i="6"/>
  <c r="K95" i="20" l="1"/>
  <c r="K94" i="20"/>
  <c r="H114" i="11"/>
  <c r="H112" i="11"/>
  <c r="H114" i="6"/>
  <c r="H112" i="6"/>
  <c r="K93" i="12"/>
  <c r="K92" i="12"/>
  <c r="K91" i="12"/>
  <c r="K90" i="12"/>
  <c r="K91" i="16"/>
  <c r="K92" i="16"/>
  <c r="K93" i="16"/>
  <c r="K90" i="16"/>
  <c r="L45" i="17" l="1"/>
  <c r="L47" i="17"/>
  <c r="L46" i="33"/>
  <c r="L44" i="33"/>
  <c r="K148" i="42" l="1"/>
  <c r="O3" i="42" s="1"/>
  <c r="J97" i="12" s="1"/>
  <c r="G160" i="42" l="1"/>
  <c r="L11" i="42" l="1"/>
  <c r="L12" i="42"/>
  <c r="L13" i="42"/>
  <c r="L14" i="42"/>
  <c r="L15" i="42"/>
  <c r="L16" i="42"/>
  <c r="L17" i="42"/>
  <c r="L18" i="42"/>
  <c r="L19" i="42"/>
  <c r="L20" i="42"/>
  <c r="L23" i="42"/>
  <c r="L24" i="42"/>
  <c r="L25" i="42"/>
  <c r="L26" i="42"/>
  <c r="L27" i="42"/>
  <c r="L28" i="42"/>
  <c r="L29" i="42"/>
  <c r="L63" i="42"/>
  <c r="L64" i="42"/>
  <c r="L65" i="42"/>
  <c r="L66" i="42"/>
  <c r="L67" i="42"/>
  <c r="L68" i="42"/>
  <c r="L69" i="42"/>
  <c r="L70" i="42"/>
  <c r="L72" i="42"/>
  <c r="L73" i="42"/>
  <c r="L76" i="42"/>
  <c r="L78" i="42"/>
  <c r="L79" i="42"/>
  <c r="L80" i="42"/>
  <c r="L81" i="42"/>
  <c r="L82" i="42"/>
  <c r="L116" i="42"/>
  <c r="L117" i="42"/>
  <c r="L118" i="42"/>
  <c r="L119" i="42"/>
  <c r="L120" i="42"/>
  <c r="L121" i="42"/>
  <c r="L122" i="42"/>
  <c r="L123" i="42"/>
  <c r="L124" i="42"/>
  <c r="L125" i="42"/>
  <c r="L126" i="42"/>
  <c r="L129" i="42"/>
  <c r="L130" i="42"/>
  <c r="L131" i="42"/>
  <c r="L132" i="42"/>
  <c r="L133" i="42"/>
  <c r="L134" i="42"/>
  <c r="L135" i="42"/>
  <c r="L130" i="41"/>
  <c r="L131" i="41"/>
  <c r="L132" i="41"/>
  <c r="L133" i="41"/>
  <c r="L134" i="41"/>
  <c r="L135" i="41"/>
  <c r="L129" i="41"/>
  <c r="L117" i="41"/>
  <c r="L118" i="41"/>
  <c r="L119" i="41"/>
  <c r="L120" i="41"/>
  <c r="L121" i="41"/>
  <c r="L122" i="41"/>
  <c r="L123" i="41"/>
  <c r="L124" i="41"/>
  <c r="L125" i="41"/>
  <c r="L126" i="41"/>
  <c r="L116" i="41"/>
  <c r="L77" i="41"/>
  <c r="L78" i="41"/>
  <c r="L79" i="41"/>
  <c r="L80" i="41"/>
  <c r="L81" i="41"/>
  <c r="L82" i="41"/>
  <c r="L76" i="41"/>
  <c r="L65" i="41"/>
  <c r="L66" i="41"/>
  <c r="L67" i="41"/>
  <c r="L68" i="41"/>
  <c r="L69" i="41"/>
  <c r="L70" i="41"/>
  <c r="L71" i="41"/>
  <c r="L72" i="41"/>
  <c r="L73" i="41"/>
  <c r="L64" i="41"/>
  <c r="L24" i="41"/>
  <c r="L25" i="41"/>
  <c r="L26" i="41"/>
  <c r="L27" i="41"/>
  <c r="L28" i="41"/>
  <c r="L29" i="41"/>
  <c r="L23" i="41"/>
  <c r="L11" i="41"/>
  <c r="L12" i="41"/>
  <c r="L13" i="41"/>
  <c r="L14" i="41"/>
  <c r="L15" i="41"/>
  <c r="L16" i="41"/>
  <c r="L17" i="41"/>
  <c r="L18" i="41"/>
  <c r="L19" i="41"/>
  <c r="L20" i="41"/>
  <c r="L10" i="41"/>
  <c r="L77" i="42" l="1"/>
  <c r="K83" i="42" s="1"/>
  <c r="K74" i="41"/>
  <c r="K21" i="42"/>
  <c r="K136" i="42"/>
  <c r="K30" i="42"/>
  <c r="K127" i="42"/>
  <c r="K21" i="41"/>
  <c r="K30" i="41"/>
  <c r="K83" i="41"/>
  <c r="K127" i="41"/>
  <c r="K136" i="41"/>
  <c r="K115" i="42" l="1"/>
  <c r="K9" i="42"/>
  <c r="M2" i="41"/>
  <c r="L71" i="42"/>
  <c r="K74" i="42" s="1"/>
  <c r="K62" i="42" s="1"/>
  <c r="G42" i="42"/>
  <c r="G148" i="42"/>
  <c r="N2" i="42" l="1"/>
  <c r="C143" i="22"/>
  <c r="C141" i="22"/>
  <c r="I40" i="19" s="1"/>
  <c r="L40" i="19" l="1"/>
  <c r="J40" i="19"/>
  <c r="N40" i="19" l="1"/>
  <c r="O40" i="19"/>
  <c r="M40" i="19"/>
  <c r="P40" i="19"/>
  <c r="C140" i="22"/>
  <c r="H48" i="12" l="1"/>
  <c r="H48" i="16"/>
  <c r="K48" i="12"/>
  <c r="I48" i="12"/>
  <c r="K48" i="16"/>
  <c r="I7" i="36" l="1"/>
  <c r="K7" i="36"/>
  <c r="I11" i="36"/>
  <c r="K11" i="36"/>
  <c r="I14" i="36"/>
  <c r="K14" i="36"/>
  <c r="I17" i="36"/>
  <c r="K17" i="36"/>
  <c r="I20" i="36"/>
  <c r="K20" i="36"/>
  <c r="I23" i="36"/>
  <c r="K23" i="36"/>
  <c r="I29" i="36"/>
  <c r="K29" i="36"/>
  <c r="I33" i="36"/>
  <c r="K33" i="36"/>
  <c r="I36" i="36"/>
  <c r="K36" i="36"/>
  <c r="I39" i="36"/>
  <c r="K39" i="36"/>
  <c r="I42" i="36"/>
  <c r="K42" i="36"/>
  <c r="I50" i="36"/>
  <c r="K50" i="36" s="1"/>
  <c r="I54" i="36"/>
  <c r="K54" i="36"/>
  <c r="I57" i="36"/>
  <c r="K57" i="36"/>
  <c r="I60" i="36"/>
  <c r="K60" i="36"/>
  <c r="I63" i="36"/>
  <c r="K63" i="36"/>
  <c r="I66" i="36"/>
  <c r="K66" i="36"/>
  <c r="I73" i="36"/>
  <c r="K73" i="36"/>
  <c r="I81" i="36"/>
  <c r="K81" i="36"/>
  <c r="I87" i="36"/>
  <c r="K87" i="36"/>
  <c r="I99" i="36"/>
  <c r="K99" i="36"/>
  <c r="K116" i="36" l="1"/>
  <c r="L116" i="36" s="1"/>
  <c r="K68" i="36"/>
  <c r="L68" i="36" s="1"/>
  <c r="K45" i="36"/>
  <c r="L45" i="36" s="1"/>
  <c r="K25" i="36"/>
  <c r="L25" i="36" s="1"/>
  <c r="J6" i="36" l="1"/>
  <c r="K1" i="36"/>
  <c r="H13" i="3" l="1"/>
  <c r="H13" i="8" l="1"/>
  <c r="I54" i="11" l="1"/>
  <c r="K81" i="12" l="1"/>
  <c r="I81" i="12"/>
  <c r="K81" i="16" l="1"/>
  <c r="L93" i="20" l="1"/>
  <c r="L96" i="20"/>
  <c r="L97" i="20"/>
  <c r="L98" i="20"/>
  <c r="L99" i="20"/>
  <c r="L100" i="20"/>
  <c r="L92" i="20"/>
  <c r="L42" i="20" l="1"/>
  <c r="L43" i="20"/>
  <c r="L44" i="20"/>
  <c r="I120" i="11" l="1"/>
  <c r="I119" i="11"/>
  <c r="K111" i="11"/>
  <c r="K115" i="11"/>
  <c r="K116" i="11"/>
  <c r="K117" i="11"/>
  <c r="K118" i="11"/>
  <c r="K119" i="11"/>
  <c r="K120" i="11"/>
  <c r="I111" i="11"/>
  <c r="I115" i="11"/>
  <c r="I116" i="11"/>
  <c r="I117" i="11"/>
  <c r="K119" i="6" l="1"/>
  <c r="K118" i="6"/>
  <c r="K117" i="6"/>
  <c r="K116" i="6"/>
  <c r="K115" i="6"/>
  <c r="K113" i="6"/>
  <c r="K111" i="6"/>
  <c r="J140" i="27" l="1"/>
  <c r="L140" i="27" s="1"/>
  <c r="J44" i="20" s="1"/>
  <c r="J137" i="27"/>
  <c r="L137" i="27" s="1"/>
  <c r="I44" i="20" s="1"/>
  <c r="J134" i="27"/>
  <c r="L134" i="27" s="1"/>
  <c r="H44" i="20" s="1"/>
  <c r="J131" i="27"/>
  <c r="L131" i="27" s="1"/>
  <c r="G44" i="20" s="1"/>
  <c r="J128" i="27"/>
  <c r="L128" i="27" s="1"/>
  <c r="F44" i="20" s="1"/>
  <c r="J122" i="27"/>
  <c r="L122" i="27" s="1"/>
  <c r="J42" i="20" s="1"/>
  <c r="Q42" i="20" s="1"/>
  <c r="J119" i="27"/>
  <c r="L119" i="27" s="1"/>
  <c r="I42" i="20" s="1"/>
  <c r="P42" i="20" s="1"/>
  <c r="J116" i="27"/>
  <c r="L116" i="27" s="1"/>
  <c r="H42" i="20" s="1"/>
  <c r="O42" i="20" s="1"/>
  <c r="J113" i="27"/>
  <c r="L113" i="27" s="1"/>
  <c r="G42" i="20" s="1"/>
  <c r="N42" i="20" s="1"/>
  <c r="J110" i="27"/>
  <c r="L110" i="27" s="1"/>
  <c r="F42" i="20" s="1"/>
  <c r="Q44" i="20" l="1"/>
  <c r="J43" i="20"/>
  <c r="Q43" i="20" s="1"/>
  <c r="P44" i="20"/>
  <c r="I43" i="20"/>
  <c r="P43" i="20" s="1"/>
  <c r="O44" i="20"/>
  <c r="H43" i="20"/>
  <c r="O43" i="20" s="1"/>
  <c r="N44" i="20"/>
  <c r="G43" i="20"/>
  <c r="N43" i="20" s="1"/>
  <c r="F43" i="20"/>
  <c r="K42" i="20"/>
  <c r="M42" i="20"/>
  <c r="L142" i="27"/>
  <c r="L124" i="27"/>
  <c r="K53" i="11"/>
  <c r="K54" i="11"/>
  <c r="K55" i="11"/>
  <c r="I53" i="11"/>
  <c r="I55" i="11"/>
  <c r="I122" i="11"/>
  <c r="H122" i="11"/>
  <c r="K122" i="11" s="1"/>
  <c r="K121" i="11"/>
  <c r="H54" i="11" l="1"/>
  <c r="H54" i="6"/>
  <c r="H55" i="6"/>
  <c r="K55" i="6" s="1"/>
  <c r="M44" i="20"/>
  <c r="K44" i="20"/>
  <c r="K43" i="20"/>
  <c r="M43" i="20"/>
  <c r="H53" i="11"/>
  <c r="H53" i="6"/>
  <c r="K120" i="6"/>
  <c r="K121" i="6"/>
  <c r="K53" i="6"/>
  <c r="K54" i="6"/>
  <c r="K9" i="11" l="1"/>
  <c r="A28" i="2"/>
  <c r="A27" i="2"/>
  <c r="A26" i="2"/>
  <c r="A25" i="2"/>
  <c r="K58" i="12"/>
  <c r="K59" i="12"/>
  <c r="K54" i="12"/>
  <c r="K55" i="12"/>
  <c r="K56" i="12"/>
  <c r="K57" i="12"/>
  <c r="I56" i="12"/>
  <c r="M56" i="12" s="1"/>
  <c r="I55" i="12"/>
  <c r="M55" i="12" s="1"/>
  <c r="L50" i="19"/>
  <c r="M50" i="19" s="1"/>
  <c r="L49" i="19"/>
  <c r="M49" i="19" s="1"/>
  <c r="L48" i="19"/>
  <c r="N48" i="19" s="1"/>
  <c r="L47" i="19"/>
  <c r="N47" i="19" s="1"/>
  <c r="L46" i="19"/>
  <c r="M46" i="19" s="1"/>
  <c r="L45" i="19"/>
  <c r="M45" i="19" s="1"/>
  <c r="K59" i="16"/>
  <c r="K58" i="16"/>
  <c r="K57" i="16"/>
  <c r="K56" i="16"/>
  <c r="K55" i="16"/>
  <c r="K54" i="16"/>
  <c r="G93" i="22"/>
  <c r="I92" i="22" s="1"/>
  <c r="H59" i="12" s="1"/>
  <c r="F31" i="7"/>
  <c r="F30" i="7"/>
  <c r="F29" i="7"/>
  <c r="D8" i="43" s="1"/>
  <c r="D32" i="7"/>
  <c r="B10" i="7"/>
  <c r="A9" i="2"/>
  <c r="A8" i="2"/>
  <c r="B3" i="4"/>
  <c r="B2" i="4" s="1"/>
  <c r="B3" i="3"/>
  <c r="B2" i="3" s="1"/>
  <c r="D3" i="4"/>
  <c r="D2" i="4" s="1"/>
  <c r="E3" i="3"/>
  <c r="E2" i="3" s="1"/>
  <c r="D18" i="10"/>
  <c r="D41" i="7"/>
  <c r="D26" i="7"/>
  <c r="D20" i="7"/>
  <c r="D19" i="7"/>
  <c r="H20" i="8"/>
  <c r="H7" i="3"/>
  <c r="I12" i="3"/>
  <c r="H19" i="3"/>
  <c r="H20" i="3"/>
  <c r="K14" i="17"/>
  <c r="J82" i="35"/>
  <c r="J74" i="35"/>
  <c r="J100" i="35"/>
  <c r="J41" i="35"/>
  <c r="J38" i="35"/>
  <c r="J35" i="35"/>
  <c r="J32" i="35"/>
  <c r="J28" i="35"/>
  <c r="I91" i="12"/>
  <c r="M91" i="12" s="1"/>
  <c r="I92" i="12"/>
  <c r="M92" i="12" s="1"/>
  <c r="I90" i="12"/>
  <c r="M90" i="12" s="1"/>
  <c r="G91" i="12"/>
  <c r="G92" i="12"/>
  <c r="G90" i="12"/>
  <c r="J88" i="35"/>
  <c r="J50" i="35"/>
  <c r="L100" i="35"/>
  <c r="L88" i="35"/>
  <c r="L82" i="35"/>
  <c r="L74" i="35"/>
  <c r="I5" i="17"/>
  <c r="K7" i="17"/>
  <c r="I15" i="17"/>
  <c r="I38" i="17"/>
  <c r="I14" i="17"/>
  <c r="G42" i="17"/>
  <c r="K42" i="17"/>
  <c r="I42" i="17"/>
  <c r="K38" i="17"/>
  <c r="G38" i="17"/>
  <c r="I30" i="17"/>
  <c r="K30" i="17"/>
  <c r="K41" i="33"/>
  <c r="H41" i="33"/>
  <c r="H37" i="33"/>
  <c r="K37" i="33" s="1"/>
  <c r="H38" i="33"/>
  <c r="K29" i="33"/>
  <c r="K15" i="33"/>
  <c r="K36" i="17"/>
  <c r="I36" i="17"/>
  <c r="G36" i="17"/>
  <c r="K24" i="17"/>
  <c r="I24" i="17"/>
  <c r="I13" i="17"/>
  <c r="G13" i="17"/>
  <c r="K13" i="17" s="1"/>
  <c r="K14" i="33"/>
  <c r="K23" i="33"/>
  <c r="H35" i="33"/>
  <c r="K35" i="33" s="1"/>
  <c r="H13" i="33"/>
  <c r="K13" i="33" s="1"/>
  <c r="H54" i="18"/>
  <c r="K54" i="18"/>
  <c r="K40" i="18"/>
  <c r="K41" i="18"/>
  <c r="K42" i="18"/>
  <c r="K43" i="18"/>
  <c r="K44" i="18"/>
  <c r="K45" i="18"/>
  <c r="K46" i="18"/>
  <c r="K47" i="18"/>
  <c r="K48" i="18"/>
  <c r="K49" i="18"/>
  <c r="K50" i="18"/>
  <c r="K51" i="18"/>
  <c r="K52" i="18"/>
  <c r="K53" i="18"/>
  <c r="H40" i="18"/>
  <c r="H41" i="18"/>
  <c r="H42" i="18"/>
  <c r="H43" i="18"/>
  <c r="H44" i="18"/>
  <c r="H45" i="18"/>
  <c r="H46" i="18"/>
  <c r="H47" i="18"/>
  <c r="H48" i="18"/>
  <c r="H49" i="18"/>
  <c r="H50" i="18"/>
  <c r="H51" i="18"/>
  <c r="H52" i="18"/>
  <c r="H53" i="18"/>
  <c r="K40" i="34"/>
  <c r="K41" i="34"/>
  <c r="K42" i="34"/>
  <c r="K43" i="34"/>
  <c r="K44" i="34"/>
  <c r="K45" i="34"/>
  <c r="K46" i="34"/>
  <c r="K47" i="34"/>
  <c r="K48" i="34"/>
  <c r="K49" i="34"/>
  <c r="K50" i="34"/>
  <c r="K51" i="34"/>
  <c r="K52" i="34"/>
  <c r="K53" i="34"/>
  <c r="K54" i="34"/>
  <c r="E34" i="7"/>
  <c r="L54" i="35"/>
  <c r="L57" i="35"/>
  <c r="L60" i="35"/>
  <c r="L63" i="35"/>
  <c r="L66" i="35"/>
  <c r="L50" i="35"/>
  <c r="L32" i="35"/>
  <c r="L35" i="35"/>
  <c r="L38" i="35"/>
  <c r="L41" i="35"/>
  <c r="L28" i="35"/>
  <c r="L11" i="35"/>
  <c r="L14" i="35"/>
  <c r="L17" i="35"/>
  <c r="L20" i="35"/>
  <c r="L23" i="35"/>
  <c r="G58" i="20"/>
  <c r="H58" i="20"/>
  <c r="E58" i="20"/>
  <c r="I58" i="20"/>
  <c r="J58" i="20"/>
  <c r="J106" i="24"/>
  <c r="L106" i="24" s="1"/>
  <c r="J18" i="20" s="1"/>
  <c r="J103" i="24"/>
  <c r="L103" i="24" s="1"/>
  <c r="I18" i="20" s="1"/>
  <c r="J100" i="24"/>
  <c r="L100" i="24" s="1"/>
  <c r="H18" i="20" s="1"/>
  <c r="J97" i="24"/>
  <c r="L97" i="24" s="1"/>
  <c r="G18" i="20" s="1"/>
  <c r="J93" i="24"/>
  <c r="L93" i="24" s="1"/>
  <c r="F18" i="20" s="1"/>
  <c r="C128" i="22"/>
  <c r="J45" i="19" s="1"/>
  <c r="C126" i="22"/>
  <c r="J47" i="19" s="1"/>
  <c r="G128" i="22"/>
  <c r="G126" i="22"/>
  <c r="G124" i="22"/>
  <c r="C124" i="22"/>
  <c r="I104" i="12"/>
  <c r="M104" i="12" s="1"/>
  <c r="I105" i="12"/>
  <c r="M105" i="12" s="1"/>
  <c r="I76" i="12"/>
  <c r="M76" i="12" s="1"/>
  <c r="K104" i="12"/>
  <c r="K105" i="12"/>
  <c r="K76" i="12"/>
  <c r="E150" i="14"/>
  <c r="J150" i="14" s="1"/>
  <c r="E143" i="14"/>
  <c r="J143" i="14" s="1"/>
  <c r="K67" i="12"/>
  <c r="K68" i="12"/>
  <c r="I67" i="12"/>
  <c r="M67" i="12" s="1"/>
  <c r="I68" i="12"/>
  <c r="M68" i="12" s="1"/>
  <c r="M117" i="11"/>
  <c r="I35" i="11"/>
  <c r="L58" i="19"/>
  <c r="M58" i="19" s="1"/>
  <c r="L59" i="19"/>
  <c r="N59" i="19" s="1"/>
  <c r="L67" i="19"/>
  <c r="K58" i="19"/>
  <c r="L35" i="20"/>
  <c r="J159" i="26"/>
  <c r="L159" i="26" s="1"/>
  <c r="J35" i="20" s="1"/>
  <c r="J156" i="26"/>
  <c r="L156" i="26" s="1"/>
  <c r="I35" i="20" s="1"/>
  <c r="J153" i="26"/>
  <c r="L153" i="26" s="1"/>
  <c r="H35" i="20" s="1"/>
  <c r="J150" i="26"/>
  <c r="L150" i="26" s="1"/>
  <c r="G35" i="20" s="1"/>
  <c r="J146" i="26"/>
  <c r="L146" i="26" s="1"/>
  <c r="F35" i="20" s="1"/>
  <c r="J259" i="32"/>
  <c r="L259" i="32" s="1"/>
  <c r="J100" i="20" s="1"/>
  <c r="J256" i="32"/>
  <c r="L256" i="32" s="1"/>
  <c r="I100" i="20" s="1"/>
  <c r="J253" i="32"/>
  <c r="L253" i="32" s="1"/>
  <c r="H100" i="20" s="1"/>
  <c r="J250" i="32"/>
  <c r="L250" i="32" s="1"/>
  <c r="G100" i="20" s="1"/>
  <c r="J241" i="32"/>
  <c r="L241" i="32" s="1"/>
  <c r="J99" i="20" s="1"/>
  <c r="J238" i="32"/>
  <c r="L238" i="32" s="1"/>
  <c r="I99" i="20" s="1"/>
  <c r="J235" i="32"/>
  <c r="L235" i="32" s="1"/>
  <c r="H99" i="20" s="1"/>
  <c r="J232" i="32"/>
  <c r="L232" i="32" s="1"/>
  <c r="G99" i="20" s="1"/>
  <c r="J247" i="32"/>
  <c r="L247" i="32" s="1"/>
  <c r="F100" i="20" s="1"/>
  <c r="J229" i="32"/>
  <c r="L229" i="32" s="1"/>
  <c r="F99" i="20" s="1"/>
  <c r="I138" i="22"/>
  <c r="K67" i="19" s="1"/>
  <c r="I136" i="22"/>
  <c r="H67" i="19" s="1"/>
  <c r="I137" i="22"/>
  <c r="J67" i="19" s="1"/>
  <c r="G111" i="22"/>
  <c r="G109" i="22"/>
  <c r="K59" i="19" s="1"/>
  <c r="C111" i="22"/>
  <c r="C109" i="22"/>
  <c r="K10" i="16"/>
  <c r="K105" i="16"/>
  <c r="K106" i="16"/>
  <c r="K67" i="16"/>
  <c r="K68" i="16"/>
  <c r="K76" i="16"/>
  <c r="K35" i="6"/>
  <c r="K10" i="17"/>
  <c r="K149" i="16"/>
  <c r="K148" i="16"/>
  <c r="K147" i="16"/>
  <c r="K146" i="16"/>
  <c r="K145" i="16"/>
  <c r="K144" i="16"/>
  <c r="K23" i="11"/>
  <c r="I23" i="11"/>
  <c r="M23" i="11" s="1"/>
  <c r="J136" i="24"/>
  <c r="L136" i="24" s="1"/>
  <c r="J23" i="20" s="1"/>
  <c r="J133" i="24"/>
  <c r="L133" i="24" s="1"/>
  <c r="I23" i="20" s="1"/>
  <c r="J130" i="24"/>
  <c r="L130" i="24" s="1"/>
  <c r="H23" i="20" s="1"/>
  <c r="J127" i="24"/>
  <c r="L127" i="24" s="1"/>
  <c r="G23" i="20" s="1"/>
  <c r="J123" i="24"/>
  <c r="L123" i="24" s="1"/>
  <c r="F23" i="20" s="1"/>
  <c r="K23" i="6"/>
  <c r="I85" i="12"/>
  <c r="M85" i="12" s="1"/>
  <c r="I39" i="2"/>
  <c r="L26" i="39"/>
  <c r="L26" i="37"/>
  <c r="H10" i="18"/>
  <c r="F39" i="2"/>
  <c r="C39" i="2"/>
  <c r="E39" i="2"/>
  <c r="M17" i="12"/>
  <c r="M27" i="12"/>
  <c r="M29" i="12"/>
  <c r="M36" i="12"/>
  <c r="M124" i="12"/>
  <c r="M125" i="12"/>
  <c r="M156" i="12"/>
  <c r="M157" i="12"/>
  <c r="M158" i="12"/>
  <c r="M160" i="12"/>
  <c r="M161" i="12"/>
  <c r="M163" i="12"/>
  <c r="M164" i="12"/>
  <c r="M165" i="12"/>
  <c r="M166" i="12"/>
  <c r="M167" i="12"/>
  <c r="K78" i="12"/>
  <c r="F132" i="16"/>
  <c r="K132" i="16" s="1"/>
  <c r="F131" i="16"/>
  <c r="K131" i="16" s="1"/>
  <c r="K88" i="12"/>
  <c r="K87" i="12"/>
  <c r="I93" i="12"/>
  <c r="M93" i="12" s="1"/>
  <c r="I88" i="12"/>
  <c r="M88" i="12" s="1"/>
  <c r="I87" i="12"/>
  <c r="I86" i="12"/>
  <c r="L33" i="19"/>
  <c r="N33" i="19" s="1"/>
  <c r="L32" i="19"/>
  <c r="N32" i="19" s="1"/>
  <c r="L31" i="19"/>
  <c r="N31" i="19" s="1"/>
  <c r="L30" i="19"/>
  <c r="M30" i="19" s="1"/>
  <c r="L29" i="19"/>
  <c r="N29" i="19" s="1"/>
  <c r="G28" i="17"/>
  <c r="H27" i="33"/>
  <c r="F135" i="16"/>
  <c r="K135" i="16" s="1"/>
  <c r="F134" i="16"/>
  <c r="K134" i="16" s="1"/>
  <c r="K133" i="16"/>
  <c r="K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7" i="18"/>
  <c r="I50" i="17"/>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26" i="12"/>
  <c r="K140" i="16"/>
  <c r="K141" i="16"/>
  <c r="K142" i="16"/>
  <c r="K143" i="16"/>
  <c r="K150" i="16"/>
  <c r="K151" i="16"/>
  <c r="K152" i="16"/>
  <c r="K153" i="16"/>
  <c r="K154" i="16"/>
  <c r="K155" i="16"/>
  <c r="K156" i="16"/>
  <c r="K55" i="34"/>
  <c r="K8" i="34"/>
  <c r="K9" i="34"/>
  <c r="K10" i="34"/>
  <c r="K11" i="34"/>
  <c r="K12" i="34"/>
  <c r="K13" i="34"/>
  <c r="K14" i="34"/>
  <c r="K15" i="34"/>
  <c r="K16" i="34"/>
  <c r="K17" i="34"/>
  <c r="K18" i="34"/>
  <c r="K19" i="34"/>
  <c r="K20" i="34"/>
  <c r="K21" i="34"/>
  <c r="K22" i="34"/>
  <c r="K23" i="34"/>
  <c r="K24" i="34"/>
  <c r="K25" i="34"/>
  <c r="K26" i="34"/>
  <c r="K27" i="34"/>
  <c r="K28" i="34"/>
  <c r="K29" i="34"/>
  <c r="K30" i="34"/>
  <c r="K31" i="34"/>
  <c r="K32" i="34"/>
  <c r="K33" i="34"/>
  <c r="K34" i="34"/>
  <c r="K35" i="34"/>
  <c r="K36" i="34"/>
  <c r="K37" i="34"/>
  <c r="K38" i="34"/>
  <c r="K39" i="34"/>
  <c r="K7" i="34"/>
  <c r="I10" i="17"/>
  <c r="I39" i="12"/>
  <c r="M39" i="12" s="1"/>
  <c r="I38" i="12"/>
  <c r="M38" i="12" s="1"/>
  <c r="I37" i="12"/>
  <c r="M37" i="12" s="1"/>
  <c r="I40" i="12"/>
  <c r="M40" i="12" s="1"/>
  <c r="I41" i="12"/>
  <c r="M41" i="12" s="1"/>
  <c r="G67" i="22"/>
  <c r="K33" i="19" s="1"/>
  <c r="C67" i="22"/>
  <c r="J33" i="19" s="1"/>
  <c r="G65" i="22"/>
  <c r="K32" i="19" s="1"/>
  <c r="C65" i="22"/>
  <c r="J32" i="19" s="1"/>
  <c r="G63" i="22"/>
  <c r="K31" i="19" s="1"/>
  <c r="C63" i="22"/>
  <c r="J31" i="19" s="1"/>
  <c r="G61" i="22"/>
  <c r="K30" i="19" s="1"/>
  <c r="C61" i="22"/>
  <c r="J30" i="19" s="1"/>
  <c r="G59" i="22"/>
  <c r="K29" i="19" s="1"/>
  <c r="C59" i="22"/>
  <c r="J29" i="19" s="1"/>
  <c r="K41" i="12"/>
  <c r="K40" i="12"/>
  <c r="K39" i="12"/>
  <c r="K38" i="12"/>
  <c r="K37" i="12"/>
  <c r="H18" i="18"/>
  <c r="H19" i="18"/>
  <c r="G128" i="12"/>
  <c r="G129" i="12"/>
  <c r="G130" i="12"/>
  <c r="G131" i="12"/>
  <c r="F131" i="12" s="1"/>
  <c r="G132" i="12"/>
  <c r="G133" i="12"/>
  <c r="G134" i="12"/>
  <c r="F134" i="12" s="1"/>
  <c r="G135" i="12"/>
  <c r="G136" i="12"/>
  <c r="G137" i="12"/>
  <c r="G138" i="12"/>
  <c r="G139" i="12"/>
  <c r="F139" i="12" s="1"/>
  <c r="G140" i="12"/>
  <c r="F140" i="12" s="1"/>
  <c r="G141" i="12"/>
  <c r="F141" i="12" s="1"/>
  <c r="G142" i="12"/>
  <c r="F142" i="12" s="1"/>
  <c r="G143" i="12"/>
  <c r="F143" i="12" s="1"/>
  <c r="G144" i="12"/>
  <c r="F144" i="12" s="1"/>
  <c r="G145" i="12"/>
  <c r="F145" i="12" s="1"/>
  <c r="G146" i="12"/>
  <c r="F146" i="12" s="1"/>
  <c r="G147" i="12"/>
  <c r="F147" i="12" s="1"/>
  <c r="G148" i="12"/>
  <c r="F148" i="12" s="1"/>
  <c r="G149" i="12"/>
  <c r="F149" i="12" s="1"/>
  <c r="G150" i="12"/>
  <c r="F150" i="12" s="1"/>
  <c r="G151" i="12"/>
  <c r="F151" i="12" s="1"/>
  <c r="G152" i="12"/>
  <c r="F152" i="12" s="1"/>
  <c r="G153" i="12"/>
  <c r="F153" i="12" s="1"/>
  <c r="G154" i="12"/>
  <c r="F154" i="12" s="1"/>
  <c r="G155" i="12"/>
  <c r="F155" i="12" s="1"/>
  <c r="G126" i="12"/>
  <c r="F148" i="16"/>
  <c r="F147" i="16"/>
  <c r="F146" i="16"/>
  <c r="F145" i="16"/>
  <c r="F144" i="16"/>
  <c r="F149" i="16"/>
  <c r="F143" i="16"/>
  <c r="F142" i="16"/>
  <c r="F141" i="16"/>
  <c r="F140" i="16"/>
  <c r="F139" i="16"/>
  <c r="K139" i="16" s="1"/>
  <c r="F138" i="16"/>
  <c r="K138" i="16" s="1"/>
  <c r="F137" i="16"/>
  <c r="K137" i="16" s="1"/>
  <c r="F136" i="16"/>
  <c r="K136" i="16" s="1"/>
  <c r="F130" i="16"/>
  <c r="K130" i="16" s="1"/>
  <c r="F129" i="16"/>
  <c r="K129" i="16" s="1"/>
  <c r="F128" i="16"/>
  <c r="F127" i="16"/>
  <c r="K127" i="16" s="1"/>
  <c r="I7" i="17"/>
  <c r="H93" i="16"/>
  <c r="H92" i="16"/>
  <c r="H91" i="16"/>
  <c r="H90" i="16"/>
  <c r="G120" i="12"/>
  <c r="K120" i="12"/>
  <c r="G119" i="12"/>
  <c r="K119" i="12"/>
  <c r="K48" i="17"/>
  <c r="K49" i="17"/>
  <c r="K47" i="17"/>
  <c r="K16" i="17"/>
  <c r="G93" i="12"/>
  <c r="K45" i="17"/>
  <c r="G44" i="17"/>
  <c r="K44" i="17"/>
  <c r="G43" i="17"/>
  <c r="K43" i="17"/>
  <c r="G41" i="17"/>
  <c r="K41" i="17"/>
  <c r="G39" i="17"/>
  <c r="K39" i="17"/>
  <c r="G37" i="17"/>
  <c r="K37" i="17"/>
  <c r="G34" i="17"/>
  <c r="K34" i="17"/>
  <c r="G33" i="17"/>
  <c r="K33" i="17" s="1"/>
  <c r="G31" i="17"/>
  <c r="K31" i="17"/>
  <c r="K28" i="17"/>
  <c r="G26" i="17"/>
  <c r="K26" i="17"/>
  <c r="G27" i="17"/>
  <c r="K27" i="17"/>
  <c r="G23" i="17"/>
  <c r="K23" i="17"/>
  <c r="G22" i="17"/>
  <c r="K22" i="17"/>
  <c r="G21" i="17"/>
  <c r="K21" i="17"/>
  <c r="G20" i="17"/>
  <c r="K20" i="17"/>
  <c r="G19" i="17"/>
  <c r="K19" i="17"/>
  <c r="K15" i="17"/>
  <c r="G12" i="17"/>
  <c r="K12" i="17" s="1"/>
  <c r="K103" i="16"/>
  <c r="I102" i="12"/>
  <c r="M102" i="12" s="1"/>
  <c r="G102" i="12"/>
  <c r="K102" i="12"/>
  <c r="H103" i="16"/>
  <c r="H35" i="18"/>
  <c r="H36" i="18"/>
  <c r="H37" i="18"/>
  <c r="H38" i="18"/>
  <c r="H31" i="18"/>
  <c r="H12" i="18"/>
  <c r="J217" i="32"/>
  <c r="L217" i="32" s="1"/>
  <c r="J214" i="32"/>
  <c r="J211" i="32"/>
  <c r="L211" i="32" s="1"/>
  <c r="J208" i="32"/>
  <c r="L208" i="32" s="1"/>
  <c r="J205" i="32"/>
  <c r="L205" i="32" s="1"/>
  <c r="L214" i="32"/>
  <c r="E94" i="14"/>
  <c r="J94" i="14" s="1"/>
  <c r="C138" i="22"/>
  <c r="K65" i="19" s="1"/>
  <c r="C133" i="22"/>
  <c r="K64" i="19" s="1"/>
  <c r="I46" i="12"/>
  <c r="M46" i="12" s="1"/>
  <c r="L38" i="19"/>
  <c r="N38" i="19" s="1"/>
  <c r="K46" i="16"/>
  <c r="L23" i="19"/>
  <c r="N23" i="19" s="1"/>
  <c r="J60" i="35"/>
  <c r="J17" i="35"/>
  <c r="E33" i="7"/>
  <c r="D25" i="7"/>
  <c r="D23" i="7"/>
  <c r="F12" i="7"/>
  <c r="B12" i="7"/>
  <c r="H18" i="8"/>
  <c r="H19" i="8"/>
  <c r="H18" i="3"/>
  <c r="I34" i="12"/>
  <c r="M34" i="12" s="1"/>
  <c r="I33" i="12"/>
  <c r="M33" i="12" s="1"/>
  <c r="I32" i="12"/>
  <c r="M32" i="12" s="1"/>
  <c r="I31" i="12"/>
  <c r="M31" i="12" s="1"/>
  <c r="I30" i="12"/>
  <c r="M30" i="12" s="1"/>
  <c r="H8" i="8"/>
  <c r="H9" i="8"/>
  <c r="H10" i="8"/>
  <c r="H11" i="8"/>
  <c r="I12" i="8"/>
  <c r="H14" i="8"/>
  <c r="H15" i="8"/>
  <c r="H16" i="8"/>
  <c r="H17" i="8"/>
  <c r="H7" i="8"/>
  <c r="H8" i="3"/>
  <c r="H9" i="3"/>
  <c r="H10" i="3"/>
  <c r="H11" i="3"/>
  <c r="I11" i="3"/>
  <c r="H14" i="3"/>
  <c r="H15" i="3"/>
  <c r="H16" i="3"/>
  <c r="H17" i="3"/>
  <c r="G7" i="3"/>
  <c r="I107" i="11"/>
  <c r="M109" i="11" s="1"/>
  <c r="I108" i="11"/>
  <c r="M110" i="11" s="1"/>
  <c r="H14" i="18"/>
  <c r="H15" i="18"/>
  <c r="H16" i="18"/>
  <c r="H17" i="18"/>
  <c r="H20" i="18"/>
  <c r="H21" i="18"/>
  <c r="H22" i="18"/>
  <c r="H23" i="18"/>
  <c r="H24" i="18"/>
  <c r="H25" i="18"/>
  <c r="H26" i="18"/>
  <c r="H27" i="18"/>
  <c r="H28" i="18"/>
  <c r="H29" i="18"/>
  <c r="H30" i="18"/>
  <c r="H32" i="18"/>
  <c r="H33" i="18"/>
  <c r="H34" i="18"/>
  <c r="H39" i="18"/>
  <c r="H8" i="18"/>
  <c r="H9" i="18"/>
  <c r="H11" i="18"/>
  <c r="H13" i="18"/>
  <c r="H7" i="18"/>
  <c r="G108" i="12"/>
  <c r="G101" i="12"/>
  <c r="G100" i="12"/>
  <c r="K121" i="12"/>
  <c r="K101" i="12"/>
  <c r="K106" i="12"/>
  <c r="K108" i="12"/>
  <c r="K100" i="12"/>
  <c r="I101" i="12"/>
  <c r="M101" i="12" s="1"/>
  <c r="I103" i="12"/>
  <c r="M103" i="12" s="1"/>
  <c r="I106" i="12"/>
  <c r="M106" i="12" s="1"/>
  <c r="I107" i="12"/>
  <c r="M107" i="12" s="1"/>
  <c r="I108" i="12"/>
  <c r="M108" i="12" s="1"/>
  <c r="I109" i="12"/>
  <c r="M109" i="12" s="1"/>
  <c r="I110" i="12"/>
  <c r="M110" i="12" s="1"/>
  <c r="I111" i="12"/>
  <c r="M111" i="12" s="1"/>
  <c r="I112" i="12"/>
  <c r="M112" i="12" s="1"/>
  <c r="I113" i="12"/>
  <c r="M113" i="12" s="1"/>
  <c r="I114" i="12"/>
  <c r="M114" i="12" s="1"/>
  <c r="I115" i="12"/>
  <c r="M115" i="12" s="1"/>
  <c r="I116" i="12"/>
  <c r="M116" i="12" s="1"/>
  <c r="I117" i="12"/>
  <c r="M117" i="12" s="1"/>
  <c r="I100" i="12"/>
  <c r="M100" i="12" s="1"/>
  <c r="I34" i="11"/>
  <c r="M34" i="11" s="1"/>
  <c r="I94" i="11"/>
  <c r="M96" i="11" s="1"/>
  <c r="I95" i="11"/>
  <c r="M97" i="11" s="1"/>
  <c r="I96" i="11"/>
  <c r="M98" i="11" s="1"/>
  <c r="I97" i="11"/>
  <c r="M99" i="11" s="1"/>
  <c r="K122" i="16"/>
  <c r="K88" i="16"/>
  <c r="K87" i="16"/>
  <c r="K48" i="33"/>
  <c r="K47" i="33"/>
  <c r="K46" i="33"/>
  <c r="K27" i="33"/>
  <c r="K16" i="33"/>
  <c r="H40" i="33"/>
  <c r="K40" i="33"/>
  <c r="H42" i="33"/>
  <c r="K42" i="33"/>
  <c r="K44" i="33"/>
  <c r="H43" i="33"/>
  <c r="K43" i="33"/>
  <c r="E145" i="14"/>
  <c r="J145" i="14" s="1"/>
  <c r="J135" i="14"/>
  <c r="J147" i="14"/>
  <c r="H135" i="14"/>
  <c r="H147" i="14"/>
  <c r="E120" i="14"/>
  <c r="J120" i="14" s="1"/>
  <c r="J110" i="14"/>
  <c r="J118" i="14"/>
  <c r="J122" i="14"/>
  <c r="J125" i="14"/>
  <c r="H110" i="14"/>
  <c r="H118" i="14"/>
  <c r="H122" i="14"/>
  <c r="H125" i="14"/>
  <c r="E96" i="14"/>
  <c r="J96" i="14" s="1"/>
  <c r="J86" i="14"/>
  <c r="J98" i="14"/>
  <c r="J101" i="14"/>
  <c r="H86" i="14"/>
  <c r="H98" i="14"/>
  <c r="H101" i="14"/>
  <c r="J61" i="14"/>
  <c r="J69" i="14"/>
  <c r="J73" i="14"/>
  <c r="J76" i="14"/>
  <c r="H61" i="14"/>
  <c r="H69" i="14"/>
  <c r="H73" i="14"/>
  <c r="H76" i="14"/>
  <c r="J37" i="14"/>
  <c r="J45" i="14"/>
  <c r="J49" i="14"/>
  <c r="J52" i="14"/>
  <c r="H37" i="14"/>
  <c r="H45" i="14"/>
  <c r="H49" i="14"/>
  <c r="H52" i="14"/>
  <c r="J8" i="14"/>
  <c r="J16" i="14"/>
  <c r="J20" i="14"/>
  <c r="J23" i="14"/>
  <c r="E149" i="14"/>
  <c r="J149" i="14" s="1"/>
  <c r="E148" i="14"/>
  <c r="H148" i="14" s="1"/>
  <c r="E146" i="14"/>
  <c r="E144" i="14"/>
  <c r="H144" i="14" s="1"/>
  <c r="E142" i="14"/>
  <c r="E141" i="14"/>
  <c r="J141" i="14" s="1"/>
  <c r="E140" i="14"/>
  <c r="E139" i="14"/>
  <c r="J139" i="14" s="1"/>
  <c r="E138" i="14"/>
  <c r="E137" i="14"/>
  <c r="J137" i="14" s="1"/>
  <c r="E136" i="14"/>
  <c r="H136" i="14" s="1"/>
  <c r="E134" i="14"/>
  <c r="H134" i="14" s="1"/>
  <c r="E133" i="14"/>
  <c r="J133" i="14" s="1"/>
  <c r="E132" i="14"/>
  <c r="H132" i="14" s="1"/>
  <c r="E131" i="14"/>
  <c r="E130" i="14"/>
  <c r="J130" i="14" s="1"/>
  <c r="E124" i="14"/>
  <c r="E123" i="14"/>
  <c r="J123" i="14" s="1"/>
  <c r="E121" i="14"/>
  <c r="E119" i="14"/>
  <c r="J119" i="14" s="1"/>
  <c r="E117" i="14"/>
  <c r="E116" i="14"/>
  <c r="H116" i="14" s="1"/>
  <c r="E115" i="14"/>
  <c r="E114" i="14"/>
  <c r="H114" i="14" s="1"/>
  <c r="E113" i="14"/>
  <c r="E112" i="14"/>
  <c r="H112" i="14" s="1"/>
  <c r="E111" i="14"/>
  <c r="J111" i="14" s="1"/>
  <c r="E109" i="14"/>
  <c r="J109" i="14" s="1"/>
  <c r="E108" i="14"/>
  <c r="E107" i="14"/>
  <c r="J107" i="14" s="1"/>
  <c r="E106" i="14"/>
  <c r="H106" i="14" s="1"/>
  <c r="E105" i="14"/>
  <c r="H105" i="14" s="1"/>
  <c r="E100" i="14"/>
  <c r="E99" i="14"/>
  <c r="H99" i="14" s="1"/>
  <c r="E97" i="14"/>
  <c r="E95" i="14"/>
  <c r="H95" i="14" s="1"/>
  <c r="E93" i="14"/>
  <c r="E92" i="14"/>
  <c r="J92" i="14" s="1"/>
  <c r="E91" i="14"/>
  <c r="H91" i="14" s="1"/>
  <c r="E90" i="14"/>
  <c r="J90" i="14" s="1"/>
  <c r="E89" i="14"/>
  <c r="E88" i="14"/>
  <c r="J88" i="14" s="1"/>
  <c r="E87" i="14"/>
  <c r="E85" i="14"/>
  <c r="H85" i="14" s="1"/>
  <c r="E84" i="14"/>
  <c r="E83" i="14"/>
  <c r="H83" i="14" s="1"/>
  <c r="E82" i="14"/>
  <c r="E81" i="14"/>
  <c r="J81" i="14" s="1"/>
  <c r="E75" i="14"/>
  <c r="E74" i="14"/>
  <c r="H74" i="14" s="1"/>
  <c r="E72" i="14"/>
  <c r="E71" i="14"/>
  <c r="J71" i="14" s="1"/>
  <c r="E70" i="14"/>
  <c r="H70" i="14" s="1"/>
  <c r="E68" i="14"/>
  <c r="H68" i="14" s="1"/>
  <c r="E67" i="14"/>
  <c r="E66" i="14"/>
  <c r="H66" i="14" s="1"/>
  <c r="E65" i="14"/>
  <c r="J65" i="14" s="1"/>
  <c r="E64" i="14"/>
  <c r="H64" i="14" s="1"/>
  <c r="E63" i="14"/>
  <c r="E62" i="14"/>
  <c r="H62" i="14" s="1"/>
  <c r="E60" i="14"/>
  <c r="E59" i="14"/>
  <c r="J59" i="14" s="1"/>
  <c r="E58" i="14"/>
  <c r="E57" i="14"/>
  <c r="J57" i="14" s="1"/>
  <c r="E56" i="14"/>
  <c r="J56" i="14" s="1"/>
  <c r="E51" i="14"/>
  <c r="J51" i="14" s="1"/>
  <c r="E50" i="14"/>
  <c r="E48" i="14"/>
  <c r="H48" i="14" s="1"/>
  <c r="E47" i="14"/>
  <c r="E46" i="14"/>
  <c r="H46" i="14" s="1"/>
  <c r="E44" i="14"/>
  <c r="H44" i="14" s="1"/>
  <c r="E43" i="14"/>
  <c r="J43" i="14" s="1"/>
  <c r="E42" i="14"/>
  <c r="E41" i="14"/>
  <c r="J41" i="14" s="1"/>
  <c r="E40" i="14"/>
  <c r="E39" i="14"/>
  <c r="J39" i="14" s="1"/>
  <c r="E38" i="14"/>
  <c r="E36" i="14"/>
  <c r="H36" i="14" s="1"/>
  <c r="E35" i="14"/>
  <c r="E34" i="14"/>
  <c r="H34" i="14" s="1"/>
  <c r="E33" i="14"/>
  <c r="E32" i="14"/>
  <c r="J32" i="14" s="1"/>
  <c r="H23" i="14"/>
  <c r="E22" i="14"/>
  <c r="E21" i="14"/>
  <c r="J21" i="14" s="1"/>
  <c r="H20" i="14"/>
  <c r="E19" i="14"/>
  <c r="H19" i="14" s="1"/>
  <c r="E18" i="14"/>
  <c r="J18" i="14" s="1"/>
  <c r="E17" i="14"/>
  <c r="H17" i="14" s="1"/>
  <c r="H16" i="14"/>
  <c r="E15" i="14"/>
  <c r="E14" i="14"/>
  <c r="H14" i="14" s="1"/>
  <c r="E13" i="14"/>
  <c r="E12" i="14"/>
  <c r="H12" i="14" s="1"/>
  <c r="E11" i="14"/>
  <c r="E10" i="14"/>
  <c r="H10" i="14" s="1"/>
  <c r="E9" i="14"/>
  <c r="H8" i="14"/>
  <c r="E7" i="14"/>
  <c r="E6" i="14"/>
  <c r="J6" i="14" s="1"/>
  <c r="E5" i="14"/>
  <c r="E4" i="14"/>
  <c r="E3" i="14"/>
  <c r="H3" i="14" s="1"/>
  <c r="K107" i="16"/>
  <c r="G37" i="22"/>
  <c r="K23" i="19" s="1"/>
  <c r="C37" i="22"/>
  <c r="G23" i="22"/>
  <c r="K13" i="19" s="1"/>
  <c r="H109" i="16"/>
  <c r="K109" i="16"/>
  <c r="H102" i="16"/>
  <c r="K102" i="16"/>
  <c r="I49" i="17"/>
  <c r="I48" i="17"/>
  <c r="I47" i="17"/>
  <c r="I45" i="17"/>
  <c r="I44" i="17"/>
  <c r="I43" i="17"/>
  <c r="I41" i="17"/>
  <c r="I39" i="17"/>
  <c r="I37" i="17"/>
  <c r="I34" i="17"/>
  <c r="I33" i="17"/>
  <c r="I31" i="17"/>
  <c r="I28" i="17"/>
  <c r="I27" i="17"/>
  <c r="I26" i="17"/>
  <c r="I23" i="17"/>
  <c r="I22" i="17"/>
  <c r="I21" i="17"/>
  <c r="I20" i="17"/>
  <c r="I19" i="17"/>
  <c r="I16" i="17"/>
  <c r="I12" i="17"/>
  <c r="I9" i="17"/>
  <c r="I6" i="17"/>
  <c r="K38" i="33"/>
  <c r="H36" i="33"/>
  <c r="K36" i="33"/>
  <c r="H33" i="33"/>
  <c r="K33" i="33"/>
  <c r="H32" i="33"/>
  <c r="K32" i="33"/>
  <c r="H30" i="33"/>
  <c r="K30" i="33"/>
  <c r="H26" i="33"/>
  <c r="K26" i="33"/>
  <c r="H25" i="33"/>
  <c r="K25" i="33"/>
  <c r="H22" i="33"/>
  <c r="K22" i="33"/>
  <c r="H21" i="33"/>
  <c r="K21" i="33" s="1"/>
  <c r="H20" i="33"/>
  <c r="K20" i="33"/>
  <c r="H19" i="33"/>
  <c r="K19" i="33" s="1"/>
  <c r="H18" i="33"/>
  <c r="K18" i="33"/>
  <c r="H12" i="33"/>
  <c r="K12" i="33" s="1"/>
  <c r="J66" i="35"/>
  <c r="J63" i="35"/>
  <c r="J57" i="35"/>
  <c r="J54" i="35"/>
  <c r="J23" i="35"/>
  <c r="J20" i="35"/>
  <c r="J14" i="35"/>
  <c r="J11" i="35"/>
  <c r="J7" i="35"/>
  <c r="L7" i="35" s="1"/>
  <c r="L9" i="20"/>
  <c r="L10" i="20"/>
  <c r="F10" i="20" s="1"/>
  <c r="L12" i="20"/>
  <c r="H12" i="20" s="1"/>
  <c r="O12" i="20" s="1"/>
  <c r="J23" i="21"/>
  <c r="L23" i="21" s="1"/>
  <c r="F11" i="20" s="1"/>
  <c r="J21" i="23"/>
  <c r="L21" i="23" s="1"/>
  <c r="F13" i="20" s="1"/>
  <c r="J3" i="24"/>
  <c r="L3" i="24" s="1"/>
  <c r="F14" i="20" s="1"/>
  <c r="D119" i="24"/>
  <c r="D116" i="24"/>
  <c r="F17" i="20" s="1"/>
  <c r="K17" i="20" s="1"/>
  <c r="J25" i="24"/>
  <c r="L25" i="24" s="1"/>
  <c r="J40" i="24"/>
  <c r="L40" i="24" s="1"/>
  <c r="F20" i="20" s="1"/>
  <c r="J55" i="24"/>
  <c r="L55" i="24" s="1"/>
  <c r="J74" i="24"/>
  <c r="L74" i="24" s="1"/>
  <c r="F22" i="20" s="1"/>
  <c r="J3" i="25"/>
  <c r="L3" i="25" s="1"/>
  <c r="F24" i="20" s="1"/>
  <c r="J21" i="25"/>
  <c r="L21" i="25" s="1"/>
  <c r="F26" i="20" s="1"/>
  <c r="J43" i="25"/>
  <c r="L43" i="25" s="1"/>
  <c r="F27" i="20" s="1"/>
  <c r="J3" i="26"/>
  <c r="L3" i="26" s="1"/>
  <c r="J65" i="26"/>
  <c r="L65" i="26" s="1"/>
  <c r="J84" i="26"/>
  <c r="L84" i="26" s="1"/>
  <c r="F33" i="20" s="1"/>
  <c r="J127" i="26"/>
  <c r="L127" i="26" s="1"/>
  <c r="F34" i="20" s="1"/>
  <c r="J3" i="27"/>
  <c r="L3" i="27" s="1"/>
  <c r="J21" i="27"/>
  <c r="L21" i="27" s="1"/>
  <c r="F38" i="20" s="1"/>
  <c r="J39" i="27"/>
  <c r="L39" i="27" s="1"/>
  <c r="J64" i="27"/>
  <c r="L64" i="27" s="1"/>
  <c r="F41" i="20" s="1"/>
  <c r="J92" i="27"/>
  <c r="L92" i="27" s="1"/>
  <c r="F48" i="20" s="1"/>
  <c r="J3" i="28"/>
  <c r="L3" i="28" s="1"/>
  <c r="F50" i="20" s="1"/>
  <c r="J21" i="28"/>
  <c r="L21" i="28" s="1"/>
  <c r="F51" i="20" s="1"/>
  <c r="J39" i="28"/>
  <c r="L39" i="28" s="1"/>
  <c r="J64" i="28"/>
  <c r="L64" i="28" s="1"/>
  <c r="F53" i="20" s="1"/>
  <c r="J82" i="28"/>
  <c r="L82" i="28" s="1"/>
  <c r="J100" i="28"/>
  <c r="L100" i="28" s="1"/>
  <c r="J125" i="28"/>
  <c r="L125" i="28" s="1"/>
  <c r="F56" i="20" s="1"/>
  <c r="J143" i="28"/>
  <c r="L143" i="28" s="1"/>
  <c r="F57" i="20" s="1"/>
  <c r="J3" i="29"/>
  <c r="L3" i="29" s="1"/>
  <c r="F59" i="20" s="1"/>
  <c r="J21" i="29"/>
  <c r="L21" i="29" s="1"/>
  <c r="F60" i="20" s="1"/>
  <c r="J64" i="29"/>
  <c r="L64" i="29" s="1"/>
  <c r="F61" i="20" s="1"/>
  <c r="J82" i="29"/>
  <c r="L82" i="29" s="1"/>
  <c r="F63" i="20" s="1"/>
  <c r="J100" i="29"/>
  <c r="L100" i="29" s="1"/>
  <c r="F64" i="20" s="1"/>
  <c r="J118" i="29"/>
  <c r="L118" i="29" s="1"/>
  <c r="F66" i="20" s="1"/>
  <c r="J136" i="29"/>
  <c r="L136" i="29" s="1"/>
  <c r="F67" i="20" s="1"/>
  <c r="J3" i="32"/>
  <c r="L3" i="32" s="1"/>
  <c r="J21" i="32"/>
  <c r="L21" i="32" s="1"/>
  <c r="F72" i="20" s="1"/>
  <c r="J39" i="31"/>
  <c r="L39" i="31" s="1"/>
  <c r="F73" i="20" s="1"/>
  <c r="J57" i="31"/>
  <c r="L57" i="31" s="1"/>
  <c r="F74" i="20" s="1"/>
  <c r="J75" i="31"/>
  <c r="L75" i="31" s="1"/>
  <c r="J93" i="31"/>
  <c r="L93" i="31" s="1"/>
  <c r="F76" i="20" s="1"/>
  <c r="J111" i="31"/>
  <c r="L111" i="31" s="1"/>
  <c r="F77" i="20" s="1"/>
  <c r="J129" i="31"/>
  <c r="L129" i="31" s="1"/>
  <c r="F78" i="20" s="1"/>
  <c r="J3" i="31"/>
  <c r="L3" i="31" s="1"/>
  <c r="F79" i="20" s="1"/>
  <c r="J21" i="31"/>
  <c r="L21" i="31" s="1"/>
  <c r="F80" i="20" s="1"/>
  <c r="J39" i="29"/>
  <c r="L39" i="29" s="1"/>
  <c r="J3" i="30"/>
  <c r="L3" i="30" s="1"/>
  <c r="F82" i="20" s="1"/>
  <c r="J21" i="30"/>
  <c r="L21" i="30" s="1"/>
  <c r="F83" i="20" s="1"/>
  <c r="J39" i="30"/>
  <c r="L39" i="30" s="1"/>
  <c r="F84" i="20" s="1"/>
  <c r="J64" i="30"/>
  <c r="L64" i="30" s="1"/>
  <c r="J39" i="32"/>
  <c r="L39" i="32" s="1"/>
  <c r="F86" i="20" s="1"/>
  <c r="J64" i="32"/>
  <c r="L64" i="32" s="1"/>
  <c r="J169" i="32"/>
  <c r="L169" i="32" s="1"/>
  <c r="F88" i="20" s="1"/>
  <c r="J187" i="32"/>
  <c r="L187" i="32" s="1"/>
  <c r="F89" i="20" s="1"/>
  <c r="J136" i="32"/>
  <c r="L136" i="32" s="1"/>
  <c r="F90" i="20" s="1"/>
  <c r="J82" i="32"/>
  <c r="L82" i="32" s="1"/>
  <c r="J100" i="32"/>
  <c r="L100" i="32" s="1"/>
  <c r="J118" i="32"/>
  <c r="L118" i="32" s="1"/>
  <c r="F96" i="20" s="1"/>
  <c r="J28" i="21"/>
  <c r="L28" i="21" s="1"/>
  <c r="J23" i="23"/>
  <c r="L23" i="23" s="1"/>
  <c r="J7" i="24"/>
  <c r="L7" i="24" s="1"/>
  <c r="G14" i="20" s="1"/>
  <c r="J27" i="24"/>
  <c r="L27" i="24" s="1"/>
  <c r="G19" i="20" s="1"/>
  <c r="J42" i="24"/>
  <c r="L42" i="24" s="1"/>
  <c r="G20" i="20" s="1"/>
  <c r="J59" i="24"/>
  <c r="L59" i="24" s="1"/>
  <c r="G21" i="20" s="1"/>
  <c r="J78" i="24"/>
  <c r="L78" i="24" s="1"/>
  <c r="G22" i="20" s="1"/>
  <c r="J6" i="25"/>
  <c r="L6" i="25" s="1"/>
  <c r="G24" i="20" s="1"/>
  <c r="J25" i="25"/>
  <c r="L25" i="25" s="1"/>
  <c r="G26" i="20" s="1"/>
  <c r="J47" i="25"/>
  <c r="L47" i="25" s="1"/>
  <c r="G27" i="20" s="1"/>
  <c r="J6" i="26"/>
  <c r="L6" i="26" s="1"/>
  <c r="G31" i="20" s="1"/>
  <c r="J69" i="26"/>
  <c r="L69" i="26" s="1"/>
  <c r="G32" i="20" s="1"/>
  <c r="J88" i="26"/>
  <c r="L88" i="26" s="1"/>
  <c r="G33" i="20" s="1"/>
  <c r="J131" i="26"/>
  <c r="L131" i="26" s="1"/>
  <c r="G34" i="20" s="1"/>
  <c r="J6" i="27"/>
  <c r="L6" i="27" s="1"/>
  <c r="G37" i="20" s="1"/>
  <c r="J24" i="27"/>
  <c r="L24" i="27" s="1"/>
  <c r="J42" i="27"/>
  <c r="L42" i="27" s="1"/>
  <c r="G40" i="20" s="1"/>
  <c r="J67" i="27"/>
  <c r="L67" i="27" s="1"/>
  <c r="G41" i="20" s="1"/>
  <c r="J95" i="27"/>
  <c r="L95" i="27" s="1"/>
  <c r="J6" i="28"/>
  <c r="L6" i="28" s="1"/>
  <c r="G50" i="20" s="1"/>
  <c r="J24" i="28"/>
  <c r="L24" i="28" s="1"/>
  <c r="J42" i="28"/>
  <c r="L42" i="28" s="1"/>
  <c r="G52" i="20" s="1"/>
  <c r="J67" i="28"/>
  <c r="L67" i="28" s="1"/>
  <c r="G53" i="20" s="1"/>
  <c r="J85" i="28"/>
  <c r="L85" i="28" s="1"/>
  <c r="G54" i="20" s="1"/>
  <c r="J103" i="28"/>
  <c r="L103" i="28" s="1"/>
  <c r="G55" i="20" s="1"/>
  <c r="J128" i="28"/>
  <c r="L128" i="28" s="1"/>
  <c r="G56" i="20" s="1"/>
  <c r="J146" i="28"/>
  <c r="L146" i="28" s="1"/>
  <c r="J6" i="29"/>
  <c r="L6" i="29" s="1"/>
  <c r="G59" i="20" s="1"/>
  <c r="J24" i="29"/>
  <c r="L24" i="29" s="1"/>
  <c r="J67" i="29"/>
  <c r="L67" i="29" s="1"/>
  <c r="G61" i="20" s="1"/>
  <c r="J85" i="29"/>
  <c r="L85" i="29" s="1"/>
  <c r="G63" i="20" s="1"/>
  <c r="J103" i="29"/>
  <c r="L103" i="29" s="1"/>
  <c r="G64" i="20" s="1"/>
  <c r="J121" i="29"/>
  <c r="L121" i="29" s="1"/>
  <c r="G66" i="20" s="1"/>
  <c r="J139" i="29"/>
  <c r="L139" i="29" s="1"/>
  <c r="G67" i="20" s="1"/>
  <c r="J6" i="32"/>
  <c r="L6" i="32" s="1"/>
  <c r="G71" i="20" s="1"/>
  <c r="J24" i="32"/>
  <c r="L24" i="32" s="1"/>
  <c r="G72" i="20" s="1"/>
  <c r="J42" i="31"/>
  <c r="L42" i="31" s="1"/>
  <c r="J60" i="31"/>
  <c r="L60" i="31" s="1"/>
  <c r="G74" i="20" s="1"/>
  <c r="J78" i="31"/>
  <c r="L78" i="31" s="1"/>
  <c r="G75" i="20" s="1"/>
  <c r="J96" i="31"/>
  <c r="L96" i="31" s="1"/>
  <c r="G76" i="20" s="1"/>
  <c r="J114" i="31"/>
  <c r="L114" i="31" s="1"/>
  <c r="G77" i="20" s="1"/>
  <c r="J132" i="31"/>
  <c r="L132" i="31" s="1"/>
  <c r="G78" i="20" s="1"/>
  <c r="J6" i="31"/>
  <c r="L6" i="31" s="1"/>
  <c r="G79" i="20" s="1"/>
  <c r="J24" i="31"/>
  <c r="L24" i="31" s="1"/>
  <c r="G80" i="20" s="1"/>
  <c r="J42" i="29"/>
  <c r="L42" i="29" s="1"/>
  <c r="G81" i="20" s="1"/>
  <c r="J6" i="30"/>
  <c r="L6" i="30" s="1"/>
  <c r="G82" i="20" s="1"/>
  <c r="J24" i="30"/>
  <c r="L24" i="30" s="1"/>
  <c r="G83" i="20" s="1"/>
  <c r="J42" i="30"/>
  <c r="L42" i="30" s="1"/>
  <c r="G84" i="20" s="1"/>
  <c r="J67" i="30"/>
  <c r="L67" i="30" s="1"/>
  <c r="G85" i="20" s="1"/>
  <c r="J42" i="32"/>
  <c r="L42" i="32" s="1"/>
  <c r="G86" i="20" s="1"/>
  <c r="J67" i="32"/>
  <c r="L67" i="32" s="1"/>
  <c r="G87" i="20" s="1"/>
  <c r="J172" i="32"/>
  <c r="L172" i="32" s="1"/>
  <c r="G88" i="20" s="1"/>
  <c r="J190" i="32"/>
  <c r="L190" i="32" s="1"/>
  <c r="G89" i="20" s="1"/>
  <c r="J138" i="32"/>
  <c r="L138" i="32" s="1"/>
  <c r="G90" i="20" s="1"/>
  <c r="J85" i="32"/>
  <c r="L85" i="32" s="1"/>
  <c r="G91" i="20" s="1"/>
  <c r="J103" i="32"/>
  <c r="L103" i="32" s="1"/>
  <c r="J121" i="32"/>
  <c r="L121" i="32" s="1"/>
  <c r="J31" i="21"/>
  <c r="L31" i="21" s="1"/>
  <c r="H11" i="20" s="1"/>
  <c r="J25" i="23"/>
  <c r="L25" i="23" s="1"/>
  <c r="H13" i="20" s="1"/>
  <c r="J10" i="24"/>
  <c r="L10" i="24" s="1"/>
  <c r="H14" i="20" s="1"/>
  <c r="D21" i="24"/>
  <c r="H15" i="20" s="1"/>
  <c r="J29" i="24"/>
  <c r="L29" i="24" s="1"/>
  <c r="H19" i="20" s="1"/>
  <c r="J44" i="24"/>
  <c r="L44" i="24" s="1"/>
  <c r="H20" i="20" s="1"/>
  <c r="J62" i="24"/>
  <c r="L62" i="24" s="1"/>
  <c r="H21" i="20" s="1"/>
  <c r="J81" i="24"/>
  <c r="L81" i="24" s="1"/>
  <c r="H22" i="20" s="1"/>
  <c r="J9" i="25"/>
  <c r="L9" i="25" s="1"/>
  <c r="H24" i="20" s="1"/>
  <c r="J28" i="25"/>
  <c r="L28" i="25" s="1"/>
  <c r="H26" i="20" s="1"/>
  <c r="J50" i="25"/>
  <c r="L50" i="25" s="1"/>
  <c r="H27" i="20" s="1"/>
  <c r="D39" i="25"/>
  <c r="H28" i="20" s="1"/>
  <c r="D64" i="25"/>
  <c r="J9" i="26"/>
  <c r="L9" i="26" s="1"/>
  <c r="H31" i="20" s="1"/>
  <c r="J72" i="26"/>
  <c r="L72" i="26" s="1"/>
  <c r="H32" i="20" s="1"/>
  <c r="J91" i="26"/>
  <c r="L91" i="26" s="1"/>
  <c r="H33" i="20" s="1"/>
  <c r="J134" i="26"/>
  <c r="L134" i="26" s="1"/>
  <c r="H34" i="20" s="1"/>
  <c r="J9" i="27"/>
  <c r="L9" i="27" s="1"/>
  <c r="H37" i="20" s="1"/>
  <c r="J27" i="27"/>
  <c r="L27" i="27" s="1"/>
  <c r="H38" i="20" s="1"/>
  <c r="J45" i="27"/>
  <c r="L45" i="27" s="1"/>
  <c r="H40" i="20" s="1"/>
  <c r="J70" i="27"/>
  <c r="L70" i="27" s="1"/>
  <c r="D82" i="27"/>
  <c r="H45" i="20" s="1"/>
  <c r="D85" i="27"/>
  <c r="D88" i="27"/>
  <c r="H47" i="20" s="1"/>
  <c r="J98" i="27"/>
  <c r="L98" i="27" s="1"/>
  <c r="H48" i="20" s="1"/>
  <c r="J9" i="28"/>
  <c r="L9" i="28" s="1"/>
  <c r="H50" i="20" s="1"/>
  <c r="J27" i="28"/>
  <c r="L27" i="28" s="1"/>
  <c r="H51" i="20" s="1"/>
  <c r="J45" i="28"/>
  <c r="L45" i="28" s="1"/>
  <c r="H52" i="20" s="1"/>
  <c r="J70" i="28"/>
  <c r="L70" i="28" s="1"/>
  <c r="H53" i="20" s="1"/>
  <c r="J88" i="28"/>
  <c r="L88" i="28" s="1"/>
  <c r="H54" i="20" s="1"/>
  <c r="J106" i="28"/>
  <c r="L106" i="28" s="1"/>
  <c r="H55" i="20" s="1"/>
  <c r="J131" i="28"/>
  <c r="L131" i="28" s="1"/>
  <c r="H56" i="20" s="1"/>
  <c r="J149" i="28"/>
  <c r="L149" i="28" s="1"/>
  <c r="H57" i="20" s="1"/>
  <c r="J9" i="29"/>
  <c r="L9" i="29" s="1"/>
  <c r="H59" i="20" s="1"/>
  <c r="J27" i="29"/>
  <c r="L27" i="29" s="1"/>
  <c r="H60" i="20" s="1"/>
  <c r="J70" i="29"/>
  <c r="L70" i="29" s="1"/>
  <c r="H61" i="20" s="1"/>
  <c r="J88" i="29"/>
  <c r="L88" i="29" s="1"/>
  <c r="H63" i="20" s="1"/>
  <c r="J106" i="29"/>
  <c r="L106" i="29" s="1"/>
  <c r="H64" i="20" s="1"/>
  <c r="J124" i="29"/>
  <c r="L124" i="29" s="1"/>
  <c r="H66" i="20" s="1"/>
  <c r="J142" i="29"/>
  <c r="L142" i="29" s="1"/>
  <c r="H67" i="20" s="1"/>
  <c r="D153" i="29"/>
  <c r="D156" i="29"/>
  <c r="H69" i="20" s="1"/>
  <c r="J9" i="32"/>
  <c r="L9" i="32" s="1"/>
  <c r="H71" i="20" s="1"/>
  <c r="J27" i="32"/>
  <c r="L27" i="32" s="1"/>
  <c r="H72" i="20" s="1"/>
  <c r="J45" i="31"/>
  <c r="L45" i="31" s="1"/>
  <c r="H73" i="20" s="1"/>
  <c r="J63" i="31"/>
  <c r="L63" i="31" s="1"/>
  <c r="H74" i="20" s="1"/>
  <c r="J81" i="31"/>
  <c r="L81" i="31" s="1"/>
  <c r="H75" i="20" s="1"/>
  <c r="J99" i="31"/>
  <c r="L99" i="31" s="1"/>
  <c r="H76" i="20" s="1"/>
  <c r="J117" i="31"/>
  <c r="L117" i="31" s="1"/>
  <c r="H77" i="20" s="1"/>
  <c r="J135" i="31"/>
  <c r="L135" i="31" s="1"/>
  <c r="H78" i="20" s="1"/>
  <c r="J9" i="31"/>
  <c r="L9" i="31" s="1"/>
  <c r="H79" i="20" s="1"/>
  <c r="J27" i="31"/>
  <c r="L27" i="31" s="1"/>
  <c r="H80" i="20" s="1"/>
  <c r="J45" i="29"/>
  <c r="L45" i="29" s="1"/>
  <c r="H81" i="20" s="1"/>
  <c r="J9" i="30"/>
  <c r="L9" i="30" s="1"/>
  <c r="H82" i="20" s="1"/>
  <c r="J27" i="30"/>
  <c r="L27" i="30" s="1"/>
  <c r="H83" i="20" s="1"/>
  <c r="J45" i="30"/>
  <c r="L45" i="30" s="1"/>
  <c r="H84" i="20" s="1"/>
  <c r="J70" i="30"/>
  <c r="L70" i="30" s="1"/>
  <c r="H85" i="20" s="1"/>
  <c r="J45" i="32"/>
  <c r="L45" i="32" s="1"/>
  <c r="H86" i="20" s="1"/>
  <c r="J70" i="32"/>
  <c r="L70" i="32" s="1"/>
  <c r="H87" i="20" s="1"/>
  <c r="J175" i="32"/>
  <c r="L175" i="32" s="1"/>
  <c r="H88" i="20" s="1"/>
  <c r="J193" i="32"/>
  <c r="L193" i="32" s="1"/>
  <c r="H89" i="20" s="1"/>
  <c r="J140" i="32"/>
  <c r="L140" i="32" s="1"/>
  <c r="H90" i="20" s="1"/>
  <c r="J88" i="32"/>
  <c r="L88" i="32" s="1"/>
  <c r="H91" i="20" s="1"/>
  <c r="J106" i="32"/>
  <c r="L106" i="32" s="1"/>
  <c r="J124" i="32"/>
  <c r="L124" i="32" s="1"/>
  <c r="H96" i="20" s="1"/>
  <c r="J34" i="21"/>
  <c r="L34" i="21" s="1"/>
  <c r="I11" i="20" s="1"/>
  <c r="J28" i="23"/>
  <c r="L28" i="23" s="1"/>
  <c r="I13" i="20" s="1"/>
  <c r="J13" i="24"/>
  <c r="L13" i="24" s="1"/>
  <c r="I14" i="20" s="1"/>
  <c r="G21" i="24"/>
  <c r="I15" i="20" s="1"/>
  <c r="J32" i="24"/>
  <c r="L32" i="24" s="1"/>
  <c r="I19" i="20" s="1"/>
  <c r="J47" i="24"/>
  <c r="L47" i="24" s="1"/>
  <c r="I20" i="20" s="1"/>
  <c r="J65" i="24"/>
  <c r="L65" i="24" s="1"/>
  <c r="I21" i="20" s="1"/>
  <c r="J84" i="24"/>
  <c r="L84" i="24" s="1"/>
  <c r="J12" i="25"/>
  <c r="L12" i="25" s="1"/>
  <c r="J31" i="25"/>
  <c r="L31" i="25" s="1"/>
  <c r="I26" i="20" s="1"/>
  <c r="J53" i="25"/>
  <c r="L53" i="25" s="1"/>
  <c r="I27" i="20" s="1"/>
  <c r="G39" i="25"/>
  <c r="I28" i="20" s="1"/>
  <c r="G64" i="25"/>
  <c r="I29" i="20" s="1"/>
  <c r="J12" i="26"/>
  <c r="L12" i="26" s="1"/>
  <c r="I31" i="20" s="1"/>
  <c r="J75" i="26"/>
  <c r="L75" i="26" s="1"/>
  <c r="I32" i="20" s="1"/>
  <c r="J94" i="26"/>
  <c r="L94" i="26" s="1"/>
  <c r="I33" i="20" s="1"/>
  <c r="J137" i="26"/>
  <c r="L137" i="26" s="1"/>
  <c r="I34" i="20" s="1"/>
  <c r="J12" i="27"/>
  <c r="L12" i="27" s="1"/>
  <c r="I37" i="20" s="1"/>
  <c r="J30" i="27"/>
  <c r="L30" i="27" s="1"/>
  <c r="I38" i="20" s="1"/>
  <c r="J48" i="27"/>
  <c r="L48" i="27" s="1"/>
  <c r="I40" i="20" s="1"/>
  <c r="J73" i="27"/>
  <c r="L73" i="27" s="1"/>
  <c r="I41" i="20" s="1"/>
  <c r="G82" i="27"/>
  <c r="I45" i="20" s="1"/>
  <c r="G85" i="27"/>
  <c r="I46" i="20" s="1"/>
  <c r="G88" i="27"/>
  <c r="I47" i="20" s="1"/>
  <c r="J101" i="27"/>
  <c r="L101" i="27" s="1"/>
  <c r="I48" i="20" s="1"/>
  <c r="J12" i="28"/>
  <c r="L12" i="28" s="1"/>
  <c r="I50" i="20" s="1"/>
  <c r="J30" i="28"/>
  <c r="L30" i="28" s="1"/>
  <c r="I51" i="20" s="1"/>
  <c r="J48" i="28"/>
  <c r="L48" i="28" s="1"/>
  <c r="I52" i="20" s="1"/>
  <c r="J73" i="28"/>
  <c r="L73" i="28" s="1"/>
  <c r="I53" i="20" s="1"/>
  <c r="J91" i="28"/>
  <c r="L91" i="28" s="1"/>
  <c r="I54" i="20" s="1"/>
  <c r="J109" i="28"/>
  <c r="L109" i="28" s="1"/>
  <c r="I55" i="20" s="1"/>
  <c r="J134" i="28"/>
  <c r="L134" i="28" s="1"/>
  <c r="I56" i="20" s="1"/>
  <c r="J152" i="28"/>
  <c r="L152" i="28" s="1"/>
  <c r="I57" i="20" s="1"/>
  <c r="J12" i="29"/>
  <c r="L12" i="29" s="1"/>
  <c r="I59" i="20" s="1"/>
  <c r="J30" i="29"/>
  <c r="L30" i="29" s="1"/>
  <c r="I60" i="20" s="1"/>
  <c r="J73" i="29"/>
  <c r="L73" i="29" s="1"/>
  <c r="I61" i="20" s="1"/>
  <c r="J91" i="29"/>
  <c r="L91" i="29" s="1"/>
  <c r="J109" i="29"/>
  <c r="L109" i="29" s="1"/>
  <c r="I64" i="20" s="1"/>
  <c r="J127" i="29"/>
  <c r="L127" i="29" s="1"/>
  <c r="I66" i="20" s="1"/>
  <c r="J145" i="29"/>
  <c r="L145" i="29" s="1"/>
  <c r="I67" i="20" s="1"/>
  <c r="G153" i="29"/>
  <c r="I68" i="20" s="1"/>
  <c r="G156" i="29"/>
  <c r="I69" i="20" s="1"/>
  <c r="J12" i="32"/>
  <c r="L12" i="32" s="1"/>
  <c r="I71" i="20" s="1"/>
  <c r="J30" i="32"/>
  <c r="L30" i="32" s="1"/>
  <c r="I72" i="20" s="1"/>
  <c r="J48" i="31"/>
  <c r="L48" i="31" s="1"/>
  <c r="I73" i="20" s="1"/>
  <c r="J66" i="31"/>
  <c r="L66" i="31" s="1"/>
  <c r="I74" i="20" s="1"/>
  <c r="J84" i="31"/>
  <c r="L84" i="31" s="1"/>
  <c r="I75" i="20" s="1"/>
  <c r="J102" i="31"/>
  <c r="L102" i="31" s="1"/>
  <c r="I76" i="20" s="1"/>
  <c r="J120" i="31"/>
  <c r="L120" i="31" s="1"/>
  <c r="I77" i="20" s="1"/>
  <c r="J138" i="31"/>
  <c r="L138" i="31" s="1"/>
  <c r="I78" i="20" s="1"/>
  <c r="J12" i="31"/>
  <c r="L12" i="31" s="1"/>
  <c r="I79" i="20" s="1"/>
  <c r="J30" i="31"/>
  <c r="L30" i="31" s="1"/>
  <c r="I80" i="20" s="1"/>
  <c r="J48" i="29"/>
  <c r="L48" i="29" s="1"/>
  <c r="I81" i="20" s="1"/>
  <c r="J12" i="30"/>
  <c r="L12" i="30" s="1"/>
  <c r="I82" i="20" s="1"/>
  <c r="J30" i="30"/>
  <c r="L30" i="30" s="1"/>
  <c r="J48" i="30"/>
  <c r="L48" i="30" s="1"/>
  <c r="I84" i="20" s="1"/>
  <c r="J73" i="30"/>
  <c r="L73" i="30" s="1"/>
  <c r="I85" i="20" s="1"/>
  <c r="J48" i="32"/>
  <c r="L48" i="32" s="1"/>
  <c r="I86" i="20" s="1"/>
  <c r="J73" i="32"/>
  <c r="L73" i="32" s="1"/>
  <c r="I87" i="20" s="1"/>
  <c r="J178" i="32"/>
  <c r="L178" i="32" s="1"/>
  <c r="I88" i="20" s="1"/>
  <c r="J196" i="32"/>
  <c r="L196" i="32" s="1"/>
  <c r="I89" i="20" s="1"/>
  <c r="J143" i="32"/>
  <c r="L143" i="32" s="1"/>
  <c r="I90" i="20" s="1"/>
  <c r="J91" i="32"/>
  <c r="L91" i="32" s="1"/>
  <c r="I91" i="20" s="1"/>
  <c r="J109" i="32"/>
  <c r="L109" i="32" s="1"/>
  <c r="J127" i="32"/>
  <c r="L127" i="32" s="1"/>
  <c r="I96" i="20" s="1"/>
  <c r="J37" i="21"/>
  <c r="L37" i="21" s="1"/>
  <c r="J11" i="20" s="1"/>
  <c r="J30" i="23"/>
  <c r="L30" i="23" s="1"/>
  <c r="J13" i="20" s="1"/>
  <c r="J16" i="24"/>
  <c r="L16" i="24" s="1"/>
  <c r="J14" i="20" s="1"/>
  <c r="J34" i="24"/>
  <c r="L34" i="24" s="1"/>
  <c r="J19" i="20" s="1"/>
  <c r="J49" i="24"/>
  <c r="L49" i="24" s="1"/>
  <c r="J20" i="20" s="1"/>
  <c r="J68" i="24"/>
  <c r="L68" i="24" s="1"/>
  <c r="J21" i="20" s="1"/>
  <c r="J87" i="24"/>
  <c r="L87" i="24" s="1"/>
  <c r="J22" i="20" s="1"/>
  <c r="J15" i="25"/>
  <c r="L15" i="25" s="1"/>
  <c r="J24" i="20" s="1"/>
  <c r="J34" i="25"/>
  <c r="L34" i="25" s="1"/>
  <c r="J26" i="20" s="1"/>
  <c r="J56" i="25"/>
  <c r="L56" i="25" s="1"/>
  <c r="J27" i="20" s="1"/>
  <c r="J15" i="26"/>
  <c r="L15" i="26" s="1"/>
  <c r="J31" i="20" s="1"/>
  <c r="J78" i="26"/>
  <c r="L78" i="26" s="1"/>
  <c r="J32" i="20" s="1"/>
  <c r="J97" i="26"/>
  <c r="L97" i="26" s="1"/>
  <c r="J33" i="20" s="1"/>
  <c r="J140" i="26"/>
  <c r="L140" i="26" s="1"/>
  <c r="J34" i="20" s="1"/>
  <c r="J15" i="27"/>
  <c r="L15" i="27" s="1"/>
  <c r="J37" i="20" s="1"/>
  <c r="J33" i="27"/>
  <c r="L33" i="27" s="1"/>
  <c r="J38" i="20" s="1"/>
  <c r="J51" i="27"/>
  <c r="L51" i="27" s="1"/>
  <c r="J40" i="20" s="1"/>
  <c r="J76" i="27"/>
  <c r="L76" i="27" s="1"/>
  <c r="J41" i="20" s="1"/>
  <c r="J104" i="27"/>
  <c r="L104" i="27" s="1"/>
  <c r="J48" i="20" s="1"/>
  <c r="J15" i="28"/>
  <c r="L15" i="28" s="1"/>
  <c r="J50" i="20" s="1"/>
  <c r="J33" i="28"/>
  <c r="L33" i="28" s="1"/>
  <c r="J51" i="20" s="1"/>
  <c r="J51" i="28"/>
  <c r="L51" i="28" s="1"/>
  <c r="J52" i="20" s="1"/>
  <c r="J76" i="28"/>
  <c r="L76" i="28" s="1"/>
  <c r="J53" i="20" s="1"/>
  <c r="J94" i="28"/>
  <c r="L94" i="28" s="1"/>
  <c r="J54" i="20" s="1"/>
  <c r="J112" i="28"/>
  <c r="L112" i="28" s="1"/>
  <c r="J55" i="20" s="1"/>
  <c r="J137" i="28"/>
  <c r="L137" i="28" s="1"/>
  <c r="J155" i="28"/>
  <c r="L155" i="28" s="1"/>
  <c r="J57" i="20" s="1"/>
  <c r="J15" i="29"/>
  <c r="L15" i="29" s="1"/>
  <c r="J33" i="29"/>
  <c r="L33" i="29" s="1"/>
  <c r="J60" i="20" s="1"/>
  <c r="J76" i="29"/>
  <c r="L76" i="29" s="1"/>
  <c r="J94" i="29"/>
  <c r="L94" i="29" s="1"/>
  <c r="J63" i="20" s="1"/>
  <c r="J112" i="29"/>
  <c r="L112" i="29" s="1"/>
  <c r="J130" i="29"/>
  <c r="L130" i="29" s="1"/>
  <c r="J66" i="20" s="1"/>
  <c r="J148" i="29"/>
  <c r="L148" i="29" s="1"/>
  <c r="J15" i="32"/>
  <c r="L15" i="32" s="1"/>
  <c r="J71" i="20" s="1"/>
  <c r="J33" i="32"/>
  <c r="L33" i="32" s="1"/>
  <c r="J51" i="31"/>
  <c r="L51" i="31" s="1"/>
  <c r="J73" i="20" s="1"/>
  <c r="J69" i="31"/>
  <c r="L69" i="31" s="1"/>
  <c r="J87" i="31"/>
  <c r="L87" i="31" s="1"/>
  <c r="J75" i="20" s="1"/>
  <c r="J105" i="31"/>
  <c r="L105" i="31" s="1"/>
  <c r="J123" i="31"/>
  <c r="L123" i="31" s="1"/>
  <c r="J77" i="20" s="1"/>
  <c r="J141" i="31"/>
  <c r="L141" i="31" s="1"/>
  <c r="J15" i="31"/>
  <c r="L15" i="31" s="1"/>
  <c r="J79" i="20" s="1"/>
  <c r="J33" i="31"/>
  <c r="L33" i="31" s="1"/>
  <c r="J51" i="29"/>
  <c r="L51" i="29" s="1"/>
  <c r="J81" i="20" s="1"/>
  <c r="J15" i="30"/>
  <c r="L15" i="30" s="1"/>
  <c r="J33" i="30"/>
  <c r="L33" i="30" s="1"/>
  <c r="J83" i="20" s="1"/>
  <c r="J51" i="30"/>
  <c r="L51" i="30" s="1"/>
  <c r="J76" i="30"/>
  <c r="L76" i="30" s="1"/>
  <c r="J85" i="20" s="1"/>
  <c r="J51" i="32"/>
  <c r="L51" i="32" s="1"/>
  <c r="J76" i="32"/>
  <c r="L76" i="32" s="1"/>
  <c r="J87" i="20" s="1"/>
  <c r="J181" i="32"/>
  <c r="L181" i="32" s="1"/>
  <c r="J199" i="32"/>
  <c r="L199" i="32" s="1"/>
  <c r="J89" i="20" s="1"/>
  <c r="J145" i="32"/>
  <c r="L145" i="32" s="1"/>
  <c r="J94" i="32"/>
  <c r="L94" i="32" s="1"/>
  <c r="J91" i="20" s="1"/>
  <c r="J112" i="32"/>
  <c r="L112" i="32" s="1"/>
  <c r="J92" i="20" s="1"/>
  <c r="Q92" i="20" s="1"/>
  <c r="J130" i="32"/>
  <c r="L130" i="32" s="1"/>
  <c r="J96" i="20" s="1"/>
  <c r="L88" i="20"/>
  <c r="L89" i="20"/>
  <c r="L75" i="20"/>
  <c r="L76" i="20"/>
  <c r="L77" i="20"/>
  <c r="L78" i="20"/>
  <c r="N78" i="20" s="1"/>
  <c r="J82" i="30"/>
  <c r="L82" i="30" s="1"/>
  <c r="J85" i="30"/>
  <c r="L85" i="30" s="1"/>
  <c r="G98" i="20" s="1"/>
  <c r="J88" i="30"/>
  <c r="L88" i="30" s="1"/>
  <c r="H98" i="20" s="1"/>
  <c r="J91" i="30"/>
  <c r="L91" i="30" s="1"/>
  <c r="I98" i="20" s="1"/>
  <c r="J94" i="30"/>
  <c r="L94" i="30" s="1"/>
  <c r="J98" i="20" s="1"/>
  <c r="J151" i="32"/>
  <c r="L151" i="32" s="1"/>
  <c r="J154" i="32"/>
  <c r="L154" i="32" s="1"/>
  <c r="G97" i="20" s="1"/>
  <c r="J157" i="32"/>
  <c r="L157" i="32" s="1"/>
  <c r="H97" i="20" s="1"/>
  <c r="J160" i="32"/>
  <c r="L160" i="32" s="1"/>
  <c r="I97" i="20" s="1"/>
  <c r="J163" i="32"/>
  <c r="L163" i="32" s="1"/>
  <c r="J97" i="20" s="1"/>
  <c r="I59" i="11"/>
  <c r="L48" i="20"/>
  <c r="M48" i="20" s="1"/>
  <c r="C83" i="22"/>
  <c r="J43" i="19" s="1"/>
  <c r="C91" i="22"/>
  <c r="G91" i="22"/>
  <c r="K49" i="19" s="1"/>
  <c r="L18" i="19"/>
  <c r="M18" i="19" s="1"/>
  <c r="C25" i="22"/>
  <c r="G25" i="22"/>
  <c r="K18" i="19" s="1"/>
  <c r="L34" i="20"/>
  <c r="F93" i="16"/>
  <c r="L8" i="19"/>
  <c r="M8" i="19" s="1"/>
  <c r="L15" i="19"/>
  <c r="M15" i="19" s="1"/>
  <c r="L24" i="19"/>
  <c r="N24" i="19" s="1"/>
  <c r="L39" i="19"/>
  <c r="L43" i="19"/>
  <c r="N43" i="19" s="1"/>
  <c r="L52" i="19"/>
  <c r="L68" i="19"/>
  <c r="N68" i="19" s="1"/>
  <c r="C116" i="22"/>
  <c r="H68" i="19" s="1"/>
  <c r="L4" i="19"/>
  <c r="M4" i="19" s="1"/>
  <c r="L5" i="19"/>
  <c r="M5" i="19" s="1"/>
  <c r="L6" i="19"/>
  <c r="N6" i="19" s="1"/>
  <c r="L7" i="19"/>
  <c r="N7" i="19" s="1"/>
  <c r="L9" i="19"/>
  <c r="N9" i="19" s="1"/>
  <c r="L12" i="19"/>
  <c r="M12" i="19" s="1"/>
  <c r="L13" i="19"/>
  <c r="N13" i="19" s="1"/>
  <c r="L14" i="19"/>
  <c r="L17" i="19"/>
  <c r="N17" i="19" s="1"/>
  <c r="L19" i="19"/>
  <c r="M19" i="19" s="1"/>
  <c r="L20" i="19"/>
  <c r="N20" i="19" s="1"/>
  <c r="L25" i="19"/>
  <c r="M25" i="19" s="1"/>
  <c r="L26" i="19"/>
  <c r="N26" i="19" s="1"/>
  <c r="L27" i="19"/>
  <c r="M27" i="19" s="1"/>
  <c r="L35" i="19"/>
  <c r="M35" i="19" s="1"/>
  <c r="L36" i="19"/>
  <c r="M36" i="19" s="1"/>
  <c r="L37" i="19"/>
  <c r="N37" i="19" s="1"/>
  <c r="L41" i="19"/>
  <c r="M41" i="19" s="1"/>
  <c r="L42" i="19"/>
  <c r="M42" i="19" s="1"/>
  <c r="L44" i="19"/>
  <c r="N44" i="19" s="1"/>
  <c r="L51" i="19"/>
  <c r="N51" i="19" s="1"/>
  <c r="L53" i="19"/>
  <c r="L54" i="19"/>
  <c r="M54" i="19" s="1"/>
  <c r="L55" i="19"/>
  <c r="N55" i="19" s="1"/>
  <c r="L56" i="19"/>
  <c r="N56" i="19" s="1"/>
  <c r="L57" i="19"/>
  <c r="M57" i="19" s="1"/>
  <c r="L60" i="19"/>
  <c r="M60" i="19" s="1"/>
  <c r="L61" i="19"/>
  <c r="M61" i="19" s="1"/>
  <c r="L62" i="19"/>
  <c r="M62" i="19" s="1"/>
  <c r="L63" i="19"/>
  <c r="J161" i="28"/>
  <c r="L161" i="28" s="1"/>
  <c r="L64" i="19"/>
  <c r="O64" i="19" s="1"/>
  <c r="C131" i="22"/>
  <c r="H64" i="19" s="1"/>
  <c r="L65" i="19"/>
  <c r="O65" i="19" s="1"/>
  <c r="C136" i="22"/>
  <c r="H65" i="19" s="1"/>
  <c r="L66" i="19"/>
  <c r="O66" i="19" s="1"/>
  <c r="I131" i="22"/>
  <c r="H66" i="19" s="1"/>
  <c r="L69" i="19"/>
  <c r="C120" i="22"/>
  <c r="H69" i="19" s="1"/>
  <c r="L70" i="19"/>
  <c r="N70" i="19" s="1"/>
  <c r="C118" i="22"/>
  <c r="H70" i="19" s="1"/>
  <c r="L71" i="19"/>
  <c r="N71" i="19" s="1"/>
  <c r="C122" i="22"/>
  <c r="H71" i="19" s="1"/>
  <c r="J164" i="28"/>
  <c r="L164" i="28" s="1"/>
  <c r="I63" i="19" s="1"/>
  <c r="C132" i="22"/>
  <c r="I64" i="19" s="1"/>
  <c r="C137" i="22"/>
  <c r="I65" i="19" s="1"/>
  <c r="I132" i="22"/>
  <c r="I66" i="19" s="1"/>
  <c r="C13" i="22"/>
  <c r="J8" i="19" s="1"/>
  <c r="C31" i="22"/>
  <c r="C39" i="22"/>
  <c r="J24" i="19" s="1"/>
  <c r="J39" i="19"/>
  <c r="C5" i="22"/>
  <c r="J4" i="19" s="1"/>
  <c r="C7" i="22"/>
  <c r="C9" i="22"/>
  <c r="C11" i="22"/>
  <c r="J7" i="19" s="1"/>
  <c r="C15" i="22"/>
  <c r="C19" i="22"/>
  <c r="J12" i="19" s="1"/>
  <c r="C23" i="22"/>
  <c r="C27" i="22"/>
  <c r="J14" i="19" s="1"/>
  <c r="C21" i="22"/>
  <c r="C29" i="22"/>
  <c r="C33" i="22"/>
  <c r="J20" i="19" s="1"/>
  <c r="C41" i="22"/>
  <c r="J25" i="19" s="1"/>
  <c r="C43" i="22"/>
  <c r="J26" i="19" s="1"/>
  <c r="C45" i="22"/>
  <c r="J27" i="19" s="1"/>
  <c r="C71" i="22"/>
  <c r="J35" i="19" s="1"/>
  <c r="C73" i="22"/>
  <c r="J36" i="19" s="1"/>
  <c r="C75" i="22"/>
  <c r="J37" i="19" s="1"/>
  <c r="C89" i="22"/>
  <c r="J41" i="19" s="1"/>
  <c r="C87" i="22"/>
  <c r="J42" i="19" s="1"/>
  <c r="J61" i="19"/>
  <c r="C114" i="22"/>
  <c r="J62" i="19" s="1"/>
  <c r="J167" i="28"/>
  <c r="L167" i="28" s="1"/>
  <c r="J63" i="19" s="1"/>
  <c r="G13" i="22"/>
  <c r="K8" i="19" s="1"/>
  <c r="G31" i="22"/>
  <c r="K15" i="19" s="1"/>
  <c r="G39" i="22"/>
  <c r="K24" i="19" s="1"/>
  <c r="G83" i="22"/>
  <c r="K43" i="19" s="1"/>
  <c r="G97" i="22"/>
  <c r="K52" i="19" s="1"/>
  <c r="G116" i="22"/>
  <c r="K68" i="19" s="1"/>
  <c r="G5" i="22"/>
  <c r="K4" i="19" s="1"/>
  <c r="G7" i="22"/>
  <c r="K5" i="19" s="1"/>
  <c r="G9" i="22"/>
  <c r="K6" i="19" s="1"/>
  <c r="G11" i="22"/>
  <c r="K7" i="19" s="1"/>
  <c r="G15" i="22"/>
  <c r="K9" i="19" s="1"/>
  <c r="G19" i="22"/>
  <c r="K12" i="19" s="1"/>
  <c r="G27" i="22"/>
  <c r="K14" i="19" s="1"/>
  <c r="G21" i="22"/>
  <c r="K17" i="19" s="1"/>
  <c r="G29" i="22"/>
  <c r="K19" i="19" s="1"/>
  <c r="G33" i="22"/>
  <c r="K20" i="19" s="1"/>
  <c r="G41" i="22"/>
  <c r="G43" i="22"/>
  <c r="K26" i="19" s="1"/>
  <c r="G45" i="22"/>
  <c r="G71" i="22"/>
  <c r="K35" i="19" s="1"/>
  <c r="G73" i="22"/>
  <c r="K36" i="19" s="1"/>
  <c r="G75" i="22"/>
  <c r="K37" i="19" s="1"/>
  <c r="G89" i="22"/>
  <c r="K41" i="19" s="1"/>
  <c r="G87" i="22"/>
  <c r="K42" i="19" s="1"/>
  <c r="G85" i="22"/>
  <c r="K44" i="19" s="1"/>
  <c r="G81" i="22"/>
  <c r="K48" i="19" s="1"/>
  <c r="G95" i="22"/>
  <c r="K51" i="19" s="1"/>
  <c r="G99" i="22"/>
  <c r="K53" i="19" s="1"/>
  <c r="G101" i="22"/>
  <c r="K54" i="19" s="1"/>
  <c r="G103" i="22"/>
  <c r="K55" i="19" s="1"/>
  <c r="G105" i="22"/>
  <c r="K56" i="19" s="1"/>
  <c r="G107" i="22"/>
  <c r="K57" i="19" s="1"/>
  <c r="K60" i="19"/>
  <c r="K61" i="19"/>
  <c r="G114" i="22"/>
  <c r="K62" i="19" s="1"/>
  <c r="J170" i="28"/>
  <c r="L170" i="28" s="1"/>
  <c r="K63" i="19" s="1"/>
  <c r="I133" i="22"/>
  <c r="K66" i="19" s="1"/>
  <c r="G120" i="22"/>
  <c r="K69" i="19" s="1"/>
  <c r="G118" i="22"/>
  <c r="K70" i="19" s="1"/>
  <c r="G122" i="22"/>
  <c r="K71" i="19" s="1"/>
  <c r="G93" i="16"/>
  <c r="H96" i="16"/>
  <c r="H95" i="16"/>
  <c r="H101" i="16"/>
  <c r="K101" i="16"/>
  <c r="G95" i="12"/>
  <c r="G96" i="12"/>
  <c r="H47" i="12"/>
  <c r="K47" i="12"/>
  <c r="C85" i="22"/>
  <c r="C81" i="22"/>
  <c r="C95" i="22"/>
  <c r="C97" i="22"/>
  <c r="C99" i="22"/>
  <c r="C101" i="22"/>
  <c r="C103" i="22"/>
  <c r="C105" i="22"/>
  <c r="C107" i="22"/>
  <c r="H69" i="12"/>
  <c r="K69" i="12"/>
  <c r="H70" i="12"/>
  <c r="K70" i="12"/>
  <c r="J173" i="28"/>
  <c r="L173" i="28" s="1"/>
  <c r="H88" i="16"/>
  <c r="H47" i="16"/>
  <c r="K47" i="16"/>
  <c r="F62" i="16"/>
  <c r="H69" i="16"/>
  <c r="K69" i="16"/>
  <c r="H70" i="16"/>
  <c r="K70" i="16"/>
  <c r="H120" i="16"/>
  <c r="K120" i="16"/>
  <c r="H121" i="16"/>
  <c r="K121" i="16"/>
  <c r="I57" i="12"/>
  <c r="M57" i="12" s="1"/>
  <c r="I24" i="12"/>
  <c r="M24" i="12" s="1"/>
  <c r="I25" i="12"/>
  <c r="M25" i="12" s="1"/>
  <c r="I26" i="12"/>
  <c r="M26" i="12" s="1"/>
  <c r="I23" i="12"/>
  <c r="M23" i="12" s="1"/>
  <c r="I19" i="12"/>
  <c r="M19" i="12" s="1"/>
  <c r="I20" i="12"/>
  <c r="M20" i="12" s="1"/>
  <c r="I21" i="12"/>
  <c r="M21" i="12" s="1"/>
  <c r="I18" i="12"/>
  <c r="M18" i="12" s="1"/>
  <c r="I14" i="12"/>
  <c r="M14" i="12" s="1"/>
  <c r="I15" i="12"/>
  <c r="M15" i="12" s="1"/>
  <c r="I13" i="12"/>
  <c r="M13" i="12" s="1"/>
  <c r="I12" i="12"/>
  <c r="M12" i="12" s="1"/>
  <c r="I11" i="12"/>
  <c r="M11" i="12" s="1"/>
  <c r="I10" i="12"/>
  <c r="M10" i="12" s="1"/>
  <c r="G77" i="22"/>
  <c r="K38" i="19" s="1"/>
  <c r="C77" i="22"/>
  <c r="J38" i="19" s="1"/>
  <c r="M115" i="11"/>
  <c r="I121" i="12"/>
  <c r="M121" i="12" s="1"/>
  <c r="I73" i="12"/>
  <c r="M73" i="12" s="1"/>
  <c r="I74" i="12"/>
  <c r="M74" i="12" s="1"/>
  <c r="I75" i="12"/>
  <c r="M75" i="12" s="1"/>
  <c r="G8" i="13"/>
  <c r="G5" i="13"/>
  <c r="L11" i="20"/>
  <c r="L13" i="20"/>
  <c r="L14" i="20"/>
  <c r="L15" i="20"/>
  <c r="N15" i="20" s="1"/>
  <c r="L16" i="20"/>
  <c r="N16" i="20" s="1"/>
  <c r="L17" i="20"/>
  <c r="O17" i="20" s="1"/>
  <c r="L18" i="20"/>
  <c r="L19" i="20"/>
  <c r="L20" i="20"/>
  <c r="L21" i="20"/>
  <c r="L22" i="20"/>
  <c r="L24" i="20"/>
  <c r="L26" i="20"/>
  <c r="L27" i="20"/>
  <c r="L28" i="20"/>
  <c r="L29" i="20"/>
  <c r="L31" i="20"/>
  <c r="L32" i="20"/>
  <c r="L33" i="20"/>
  <c r="L37" i="20"/>
  <c r="L38" i="20"/>
  <c r="L40" i="20"/>
  <c r="L41" i="20"/>
  <c r="L45" i="20"/>
  <c r="M45" i="20" s="1"/>
  <c r="L46" i="20"/>
  <c r="M46" i="20" s="1"/>
  <c r="L47" i="20"/>
  <c r="N47" i="20" s="1"/>
  <c r="L50" i="20"/>
  <c r="L51" i="20"/>
  <c r="L52" i="20"/>
  <c r="L53" i="20"/>
  <c r="L54" i="20"/>
  <c r="L55" i="20"/>
  <c r="L56" i="20"/>
  <c r="L57" i="20"/>
  <c r="L59" i="20"/>
  <c r="L60" i="20"/>
  <c r="L61" i="20"/>
  <c r="L63" i="20"/>
  <c r="L64" i="20"/>
  <c r="L66" i="20"/>
  <c r="L67" i="20"/>
  <c r="L68" i="20"/>
  <c r="L69" i="20"/>
  <c r="Q69" i="20" s="1"/>
  <c r="L71" i="20"/>
  <c r="L72" i="20"/>
  <c r="L73" i="20"/>
  <c r="L74" i="20"/>
  <c r="L79" i="20"/>
  <c r="L80" i="20"/>
  <c r="L81" i="20"/>
  <c r="L82" i="20"/>
  <c r="L83" i="20"/>
  <c r="L84" i="20"/>
  <c r="L85" i="20"/>
  <c r="L86" i="20"/>
  <c r="L87" i="20"/>
  <c r="L90" i="20"/>
  <c r="L91" i="20"/>
  <c r="L23" i="20"/>
  <c r="L25" i="20"/>
  <c r="M25" i="20" s="1"/>
  <c r="L30" i="20"/>
  <c r="L39" i="20"/>
  <c r="M39" i="20" s="1"/>
  <c r="L62" i="20"/>
  <c r="N62" i="20" s="1"/>
  <c r="L65" i="20"/>
  <c r="M65" i="20" s="1"/>
  <c r="I22" i="11"/>
  <c r="M22" i="11" s="1"/>
  <c r="I20" i="11"/>
  <c r="M20" i="11" s="1"/>
  <c r="I64" i="12"/>
  <c r="M64" i="12" s="1"/>
  <c r="I65" i="12"/>
  <c r="M65" i="12" s="1"/>
  <c r="I66" i="12"/>
  <c r="M66" i="12" s="1"/>
  <c r="G116" i="24"/>
  <c r="F93" i="12"/>
  <c r="H88" i="12"/>
  <c r="J3" i="21"/>
  <c r="L3" i="21" s="1"/>
  <c r="J8" i="21"/>
  <c r="L8" i="21" s="1"/>
  <c r="J11" i="21"/>
  <c r="L11" i="21" s="1"/>
  <c r="J14" i="21"/>
  <c r="L14" i="21" s="1"/>
  <c r="J17" i="21"/>
  <c r="L17" i="21" s="1"/>
  <c r="D42" i="21"/>
  <c r="D43" i="21"/>
  <c r="D44" i="21"/>
  <c r="D45" i="21"/>
  <c r="J3" i="23"/>
  <c r="L3" i="23" s="1"/>
  <c r="J7" i="23"/>
  <c r="L7" i="23" s="1"/>
  <c r="J9" i="23"/>
  <c r="L9" i="23" s="1"/>
  <c r="J12" i="23"/>
  <c r="L12" i="23" s="1"/>
  <c r="J15" i="23"/>
  <c r="L15" i="23" s="1"/>
  <c r="G119" i="24"/>
  <c r="J21" i="26"/>
  <c r="L21" i="26" s="1"/>
  <c r="J24" i="26"/>
  <c r="L24" i="26" s="1"/>
  <c r="J27" i="26"/>
  <c r="L27" i="26" s="1"/>
  <c r="J30" i="26"/>
  <c r="L30" i="26" s="1"/>
  <c r="J33" i="26"/>
  <c r="L33" i="26" s="1"/>
  <c r="K25" i="20"/>
  <c r="K30" i="20"/>
  <c r="K39" i="20"/>
  <c r="K62" i="20"/>
  <c r="K65" i="20"/>
  <c r="I43" i="12"/>
  <c r="M43" i="12" s="1"/>
  <c r="I44" i="12"/>
  <c r="M44" i="12" s="1"/>
  <c r="I45" i="12"/>
  <c r="M45" i="12" s="1"/>
  <c r="I47" i="12"/>
  <c r="M47" i="12" s="1"/>
  <c r="I50" i="12"/>
  <c r="M50" i="12" s="1"/>
  <c r="I51" i="12"/>
  <c r="M51" i="12" s="1"/>
  <c r="I52" i="12"/>
  <c r="M52" i="12" s="1"/>
  <c r="I53" i="12"/>
  <c r="M53" i="12" s="1"/>
  <c r="I54" i="12"/>
  <c r="M54" i="12" s="1"/>
  <c r="I58" i="12"/>
  <c r="M58" i="12" s="1"/>
  <c r="I59" i="12"/>
  <c r="M59" i="12" s="1"/>
  <c r="I60" i="12"/>
  <c r="M60" i="12" s="1"/>
  <c r="I61" i="12"/>
  <c r="M61" i="12" s="1"/>
  <c r="G62" i="12"/>
  <c r="I62" i="12"/>
  <c r="M62" i="12" s="1"/>
  <c r="G63" i="12"/>
  <c r="I63" i="12"/>
  <c r="M63" i="12" s="1"/>
  <c r="I69" i="12"/>
  <c r="M69" i="12" s="1"/>
  <c r="I70" i="12"/>
  <c r="M70" i="12" s="1"/>
  <c r="I71" i="12"/>
  <c r="M71" i="12" s="1"/>
  <c r="I72" i="12"/>
  <c r="M72" i="12" s="1"/>
  <c r="I77" i="12"/>
  <c r="M77" i="12" s="1"/>
  <c r="I78" i="12"/>
  <c r="M78" i="12" s="1"/>
  <c r="I79" i="12"/>
  <c r="I80" i="12"/>
  <c r="I119" i="12"/>
  <c r="M119" i="12" s="1"/>
  <c r="I120" i="12"/>
  <c r="M120" i="12" s="1"/>
  <c r="I9" i="11"/>
  <c r="I10" i="11"/>
  <c r="M10" i="11" s="1"/>
  <c r="I11" i="11"/>
  <c r="M11" i="11" s="1"/>
  <c r="I12" i="11"/>
  <c r="M12" i="11" s="1"/>
  <c r="I13" i="11"/>
  <c r="M13" i="11" s="1"/>
  <c r="I14" i="11"/>
  <c r="M14" i="11" s="1"/>
  <c r="I15" i="11"/>
  <c r="M15" i="11" s="1"/>
  <c r="I16" i="11"/>
  <c r="M16" i="11" s="1"/>
  <c r="I17" i="11"/>
  <c r="M17" i="11" s="1"/>
  <c r="I18" i="11"/>
  <c r="M18" i="11" s="1"/>
  <c r="I19" i="11"/>
  <c r="M19" i="11" s="1"/>
  <c r="I21" i="11"/>
  <c r="M21" i="11" s="1"/>
  <c r="I24" i="11"/>
  <c r="I26" i="11"/>
  <c r="I27" i="11"/>
  <c r="M27" i="11" s="1"/>
  <c r="I28" i="11"/>
  <c r="M28" i="11" s="1"/>
  <c r="I29" i="11"/>
  <c r="I31" i="11"/>
  <c r="I32" i="11"/>
  <c r="M32" i="11" s="1"/>
  <c r="I33" i="11"/>
  <c r="M33" i="11" s="1"/>
  <c r="I48" i="11"/>
  <c r="I49" i="11"/>
  <c r="M49" i="11" s="1"/>
  <c r="I51" i="11"/>
  <c r="I52" i="11"/>
  <c r="M52" i="11" s="1"/>
  <c r="I56" i="11"/>
  <c r="M56" i="11" s="1"/>
  <c r="I57" i="11"/>
  <c r="M57" i="11" s="1"/>
  <c r="I58" i="11"/>
  <c r="M58" i="11" s="1"/>
  <c r="I61" i="11"/>
  <c r="I62" i="11"/>
  <c r="M62" i="11" s="1"/>
  <c r="I63" i="11"/>
  <c r="M63" i="11" s="1"/>
  <c r="I64" i="11"/>
  <c r="M64" i="11" s="1"/>
  <c r="I65" i="11"/>
  <c r="M65" i="11" s="1"/>
  <c r="I66" i="11"/>
  <c r="M66" i="11" s="1"/>
  <c r="I67" i="11"/>
  <c r="M67" i="11" s="1"/>
  <c r="I68" i="11"/>
  <c r="M68" i="11" s="1"/>
  <c r="I70" i="11"/>
  <c r="M70" i="11" s="1"/>
  <c r="I71" i="11"/>
  <c r="M71" i="11" s="1"/>
  <c r="I72" i="11"/>
  <c r="I74" i="11"/>
  <c r="I75" i="11"/>
  <c r="M75" i="11" s="1"/>
  <c r="I77" i="11"/>
  <c r="I78" i="11"/>
  <c r="M78" i="11" s="1"/>
  <c r="I79" i="11"/>
  <c r="M79" i="11" s="1"/>
  <c r="I80" i="11"/>
  <c r="M80" i="11" s="1"/>
  <c r="I90" i="11"/>
  <c r="M92" i="11" s="1"/>
  <c r="I91" i="11"/>
  <c r="M93" i="11" s="1"/>
  <c r="I92" i="11"/>
  <c r="M94" i="11" s="1"/>
  <c r="I93" i="11"/>
  <c r="M95" i="11" s="1"/>
  <c r="I98" i="11"/>
  <c r="M100" i="11" s="1"/>
  <c r="I99" i="11"/>
  <c r="M101" i="11" s="1"/>
  <c r="I100" i="11"/>
  <c r="M102" i="11" s="1"/>
  <c r="I101" i="11"/>
  <c r="M103" i="11" s="1"/>
  <c r="I102" i="11"/>
  <c r="M104" i="11" s="1"/>
  <c r="I103" i="11"/>
  <c r="M105" i="11" s="1"/>
  <c r="I104" i="11"/>
  <c r="M106" i="11" s="1"/>
  <c r="I105" i="11"/>
  <c r="M107" i="11" s="1"/>
  <c r="I106" i="11"/>
  <c r="M108" i="11" s="1"/>
  <c r="I109" i="11"/>
  <c r="M111" i="11" s="1"/>
  <c r="I110" i="11"/>
  <c r="M112" i="11" s="1"/>
  <c r="M113" i="11"/>
  <c r="M114" i="11"/>
  <c r="M116" i="11"/>
  <c r="F63" i="16"/>
  <c r="D37" i="4"/>
  <c r="K39" i="16"/>
  <c r="K40" i="16"/>
  <c r="K41" i="16"/>
  <c r="K38" i="16"/>
  <c r="K18" i="11"/>
  <c r="K25" i="12"/>
  <c r="K28" i="6"/>
  <c r="K15" i="6"/>
  <c r="K31" i="6"/>
  <c r="K31" i="12"/>
  <c r="K57" i="6"/>
  <c r="K21" i="6"/>
  <c r="K17" i="6"/>
  <c r="K65" i="12"/>
  <c r="K100" i="11"/>
  <c r="K77" i="6"/>
  <c r="K65" i="6"/>
  <c r="K64" i="16"/>
  <c r="K62" i="12"/>
  <c r="K66" i="6"/>
  <c r="K80" i="6"/>
  <c r="K72" i="6"/>
  <c r="K56" i="6"/>
  <c r="K16" i="11"/>
  <c r="K34" i="6"/>
  <c r="K18" i="12"/>
  <c r="K48" i="6"/>
  <c r="K78" i="6"/>
  <c r="K62" i="6"/>
  <c r="K70" i="6"/>
  <c r="K95" i="11"/>
  <c r="K71" i="6"/>
  <c r="K51" i="16"/>
  <c r="K43" i="12"/>
  <c r="K12" i="11"/>
  <c r="K10" i="12"/>
  <c r="K33" i="12"/>
  <c r="K20" i="16"/>
  <c r="K45" i="12"/>
  <c r="K14" i="16"/>
  <c r="K10" i="6"/>
  <c r="K75" i="6"/>
  <c r="K63" i="12"/>
  <c r="K23" i="12"/>
  <c r="K12" i="12"/>
  <c r="K34" i="12"/>
  <c r="K32" i="12"/>
  <c r="K37" i="16"/>
  <c r="K64" i="12"/>
  <c r="K46" i="12"/>
  <c r="K62" i="16"/>
  <c r="K25" i="16"/>
  <c r="K66" i="11"/>
  <c r="K18" i="16"/>
  <c r="K33" i="16"/>
  <c r="K80" i="11"/>
  <c r="K14" i="12"/>
  <c r="K17" i="11"/>
  <c r="K43" i="16"/>
  <c r="K56" i="11"/>
  <c r="K30" i="16"/>
  <c r="K30" i="12"/>
  <c r="K68" i="11"/>
  <c r="K68" i="6"/>
  <c r="K31" i="16"/>
  <c r="K21" i="11"/>
  <c r="K95" i="6"/>
  <c r="K100" i="6"/>
  <c r="K65" i="16"/>
  <c r="K12" i="16"/>
  <c r="K34" i="11"/>
  <c r="K10" i="11"/>
  <c r="K12" i="6"/>
  <c r="K62" i="11"/>
  <c r="K16" i="6"/>
  <c r="K57" i="11"/>
  <c r="K15" i="11"/>
  <c r="K52" i="12"/>
  <c r="K52" i="16"/>
  <c r="K63" i="16"/>
  <c r="K18" i="6"/>
  <c r="K78" i="11"/>
  <c r="K20" i="12"/>
  <c r="K51" i="12"/>
  <c r="K28" i="11"/>
  <c r="K65" i="11"/>
  <c r="K45" i="16"/>
  <c r="K23" i="16"/>
  <c r="K71" i="11"/>
  <c r="K104" i="11"/>
  <c r="K104" i="6"/>
  <c r="K90" i="11"/>
  <c r="K90" i="6"/>
  <c r="K29" i="6"/>
  <c r="K58" i="6"/>
  <c r="K58" i="11"/>
  <c r="K79" i="11"/>
  <c r="K79" i="6"/>
  <c r="K98" i="11"/>
  <c r="K98" i="6"/>
  <c r="K74" i="12"/>
  <c r="K74" i="16"/>
  <c r="K13" i="6"/>
  <c r="K13" i="11"/>
  <c r="K27" i="6"/>
  <c r="K27" i="11"/>
  <c r="K92" i="11"/>
  <c r="K92" i="6"/>
  <c r="K106" i="11"/>
  <c r="K106" i="6"/>
  <c r="K70" i="11"/>
  <c r="K75" i="11"/>
  <c r="K15" i="12"/>
  <c r="K15" i="16"/>
  <c r="K19" i="6"/>
  <c r="K19" i="11"/>
  <c r="K61" i="6"/>
  <c r="K33" i="6"/>
  <c r="K33" i="11"/>
  <c r="K110" i="11"/>
  <c r="K110" i="6"/>
  <c r="K26" i="12"/>
  <c r="K26" i="16"/>
  <c r="K32" i="6"/>
  <c r="K32" i="11"/>
  <c r="K102" i="11"/>
  <c r="K102" i="6"/>
  <c r="K52" i="6"/>
  <c r="K52" i="11"/>
  <c r="K94" i="11"/>
  <c r="K94" i="6"/>
  <c r="K105" i="11"/>
  <c r="K105" i="6"/>
  <c r="K101" i="11"/>
  <c r="K101" i="6"/>
  <c r="K93" i="11"/>
  <c r="K93" i="6"/>
  <c r="K59" i="6"/>
  <c r="K61" i="12"/>
  <c r="K61" i="16"/>
  <c r="K66" i="12"/>
  <c r="K66" i="16"/>
  <c r="K20" i="6"/>
  <c r="K20" i="11"/>
  <c r="K14" i="11"/>
  <c r="K14" i="6"/>
  <c r="K26" i="6"/>
  <c r="K51" i="6"/>
  <c r="K64" i="6"/>
  <c r="K64" i="11"/>
  <c r="K108" i="11"/>
  <c r="K108" i="6"/>
  <c r="K77" i="12"/>
  <c r="K77" i="16"/>
  <c r="K96" i="11"/>
  <c r="K96" i="6"/>
  <c r="K97" i="11"/>
  <c r="K97" i="6"/>
  <c r="K107" i="6"/>
  <c r="K107" i="11"/>
  <c r="K53" i="16"/>
  <c r="K53" i="12"/>
  <c r="K109" i="11"/>
  <c r="K109" i="6"/>
  <c r="K103" i="11"/>
  <c r="K103" i="6"/>
  <c r="K99" i="11"/>
  <c r="K99" i="6"/>
  <c r="K91" i="11"/>
  <c r="K91" i="6"/>
  <c r="K22" i="11"/>
  <c r="K22" i="6"/>
  <c r="K11" i="6"/>
  <c r="K11" i="11"/>
  <c r="K24" i="6"/>
  <c r="K49" i="6"/>
  <c r="K49" i="11"/>
  <c r="K63" i="6"/>
  <c r="K63" i="11"/>
  <c r="K67" i="6"/>
  <c r="K67" i="11"/>
  <c r="K74" i="6"/>
  <c r="K19" i="12"/>
  <c r="K19" i="16"/>
  <c r="K60" i="12"/>
  <c r="K60" i="16"/>
  <c r="K72" i="12"/>
  <c r="K72" i="16"/>
  <c r="K73" i="12"/>
  <c r="K73" i="16"/>
  <c r="K75" i="16"/>
  <c r="K75" i="12"/>
  <c r="K79" i="16"/>
  <c r="K79" i="12"/>
  <c r="K11" i="16"/>
  <c r="K11" i="12"/>
  <c r="K13" i="16"/>
  <c r="K13" i="12"/>
  <c r="K32" i="16"/>
  <c r="K34" i="16"/>
  <c r="K44" i="16"/>
  <c r="K44" i="12"/>
  <c r="K50" i="16"/>
  <c r="K50" i="12"/>
  <c r="K71" i="12"/>
  <c r="K71" i="16"/>
  <c r="K21" i="16"/>
  <c r="K21" i="12"/>
  <c r="K78" i="16"/>
  <c r="K80" i="12"/>
  <c r="K80" i="16"/>
  <c r="K24" i="16"/>
  <c r="K24" i="12"/>
  <c r="H32" i="5"/>
  <c r="K110" i="16"/>
  <c r="K109" i="12"/>
  <c r="K118" i="16"/>
  <c r="K117" i="12"/>
  <c r="K108" i="16"/>
  <c r="K107" i="12"/>
  <c r="K114" i="16"/>
  <c r="K113" i="12"/>
  <c r="K113" i="16"/>
  <c r="K112" i="12"/>
  <c r="K116" i="16"/>
  <c r="K115" i="12"/>
  <c r="K111" i="16"/>
  <c r="K110" i="12"/>
  <c r="K117" i="16"/>
  <c r="K116" i="12"/>
  <c r="K104" i="16"/>
  <c r="K103" i="12"/>
  <c r="K112" i="16"/>
  <c r="K111" i="12"/>
  <c r="K115" i="16"/>
  <c r="K114" i="12"/>
  <c r="H28" i="33" l="1"/>
  <c r="H21" i="8"/>
  <c r="H29" i="17"/>
  <c r="K50" i="17" s="1"/>
  <c r="H51" i="17" s="1"/>
  <c r="K61" i="17" s="1"/>
  <c r="I28" i="33"/>
  <c r="I60" i="33"/>
  <c r="F132" i="12"/>
  <c r="M132" i="12" s="1"/>
  <c r="H3" i="8"/>
  <c r="H2" i="8" s="1"/>
  <c r="I3" i="9"/>
  <c r="I2" i="9" s="1"/>
  <c r="E3" i="8"/>
  <c r="E2" i="8" s="1"/>
  <c r="I110" i="22"/>
  <c r="H68" i="16" s="1"/>
  <c r="N35" i="20"/>
  <c r="D3" i="10"/>
  <c r="D2" i="10" s="1"/>
  <c r="H3" i="10"/>
  <c r="H2" i="10" s="1"/>
  <c r="E3" i="9"/>
  <c r="E2" i="9" s="1"/>
  <c r="B3" i="9"/>
  <c r="B2" i="9" s="1"/>
  <c r="B3" i="10"/>
  <c r="B2" i="10" s="1"/>
  <c r="D7" i="43"/>
  <c r="D6" i="43"/>
  <c r="D5" i="43"/>
  <c r="D4" i="43"/>
  <c r="I102" i="22"/>
  <c r="H64" i="16" s="1"/>
  <c r="I100" i="22"/>
  <c r="H63" i="12" s="1"/>
  <c r="M52" i="19"/>
  <c r="O52" i="19"/>
  <c r="N39" i="19"/>
  <c r="M39" i="19"/>
  <c r="I106" i="22"/>
  <c r="H66" i="12" s="1"/>
  <c r="I98" i="22"/>
  <c r="H62" i="12" s="1"/>
  <c r="P35" i="20"/>
  <c r="I104" i="22"/>
  <c r="H65" i="12" s="1"/>
  <c r="H94" i="14"/>
  <c r="H143" i="14"/>
  <c r="N56" i="20"/>
  <c r="N50" i="20"/>
  <c r="M22" i="20"/>
  <c r="L67" i="35"/>
  <c r="L25" i="35"/>
  <c r="G93" i="20"/>
  <c r="G92" i="20"/>
  <c r="N92" i="20" s="1"/>
  <c r="I93" i="20"/>
  <c r="P93" i="20" s="1"/>
  <c r="I92" i="20"/>
  <c r="P92" i="20" s="1"/>
  <c r="H93" i="20"/>
  <c r="O93" i="20" s="1"/>
  <c r="H92" i="20"/>
  <c r="O92" i="20" s="1"/>
  <c r="F93" i="20"/>
  <c r="M93" i="20" s="1"/>
  <c r="F92" i="20"/>
  <c r="G83" i="16"/>
  <c r="J83" i="16" s="1"/>
  <c r="M109" i="41"/>
  <c r="H122" i="6"/>
  <c r="J122" i="6" s="1"/>
  <c r="G82" i="16"/>
  <c r="J82" i="16" s="1"/>
  <c r="F58" i="20"/>
  <c r="K58" i="20" s="1"/>
  <c r="H21" i="3"/>
  <c r="D54" i="7"/>
  <c r="J54" i="7"/>
  <c r="P44" i="19"/>
  <c r="N53" i="20"/>
  <c r="N37" i="20"/>
  <c r="Q19" i="20"/>
  <c r="O13" i="20"/>
  <c r="P26" i="19"/>
  <c r="P20" i="19"/>
  <c r="K50" i="19"/>
  <c r="P50" i="19" s="1"/>
  <c r="I96" i="22"/>
  <c r="H61" i="12" s="1"/>
  <c r="I108" i="22"/>
  <c r="H67" i="12" s="1"/>
  <c r="H150" i="14"/>
  <c r="H59" i="16"/>
  <c r="A29" i="2"/>
  <c r="N50" i="19"/>
  <c r="O50" i="19"/>
  <c r="P15" i="19"/>
  <c r="A10" i="2"/>
  <c r="B3" i="8"/>
  <c r="B2" i="8" s="1"/>
  <c r="I9" i="20"/>
  <c r="P9" i="20" s="1"/>
  <c r="M21" i="41"/>
  <c r="H90" i="14"/>
  <c r="F133" i="12"/>
  <c r="M133" i="12" s="1"/>
  <c r="F130" i="12"/>
  <c r="M130" i="12" s="1"/>
  <c r="K117" i="35"/>
  <c r="N65" i="19"/>
  <c r="G50" i="17"/>
  <c r="K56" i="34"/>
  <c r="E56" i="18" s="1"/>
  <c r="I123" i="22"/>
  <c r="H55" i="16" s="1"/>
  <c r="I125" i="22"/>
  <c r="H56" i="12" s="1"/>
  <c r="M32" i="19"/>
  <c r="O33" i="19"/>
  <c r="O31" i="19"/>
  <c r="O29" i="19"/>
  <c r="J9" i="20"/>
  <c r="Q9" i="20" s="1"/>
  <c r="H139" i="14"/>
  <c r="H43" i="14"/>
  <c r="M82" i="20"/>
  <c r="O80" i="20"/>
  <c r="M23" i="19"/>
  <c r="O38" i="19"/>
  <c r="J46" i="19"/>
  <c r="O46" i="19" s="1"/>
  <c r="K99" i="20"/>
  <c r="H55" i="12"/>
  <c r="I127" i="22"/>
  <c r="H54" i="12" s="1"/>
  <c r="M27" i="20"/>
  <c r="L108" i="24"/>
  <c r="K100" i="20"/>
  <c r="N99" i="20"/>
  <c r="J59" i="19"/>
  <c r="O59" i="19" s="1"/>
  <c r="N100" i="20"/>
  <c r="J58" i="19"/>
  <c r="O58" i="19" s="1"/>
  <c r="I67" i="19"/>
  <c r="N67" i="19" s="1"/>
  <c r="M67" i="19"/>
  <c r="P58" i="19"/>
  <c r="P67" i="19"/>
  <c r="N58" i="19"/>
  <c r="O67" i="19"/>
  <c r="M59" i="19"/>
  <c r="P59" i="19"/>
  <c r="O99" i="20"/>
  <c r="Q99" i="20"/>
  <c r="M99" i="20"/>
  <c r="M35" i="20"/>
  <c r="O35" i="20"/>
  <c r="Q35" i="20"/>
  <c r="Q100" i="20"/>
  <c r="O100" i="20"/>
  <c r="M100" i="20"/>
  <c r="P100" i="20"/>
  <c r="P99" i="20"/>
  <c r="K35" i="20"/>
  <c r="K34" i="20"/>
  <c r="L161" i="26"/>
  <c r="L261" i="32"/>
  <c r="L243" i="32"/>
  <c r="I135" i="22"/>
  <c r="F138" i="12"/>
  <c r="M138" i="12" s="1"/>
  <c r="F137" i="12"/>
  <c r="M137" i="12" s="1"/>
  <c r="F136" i="12"/>
  <c r="M136" i="12" s="1"/>
  <c r="F135" i="12"/>
  <c r="M135" i="12" s="1"/>
  <c r="F129" i="12"/>
  <c r="M129" i="12" s="1"/>
  <c r="F128" i="12"/>
  <c r="M128" i="12" s="1"/>
  <c r="L138" i="24"/>
  <c r="H119" i="14"/>
  <c r="H57" i="14"/>
  <c r="J95" i="12"/>
  <c r="K95" i="12" s="1"/>
  <c r="M148" i="12"/>
  <c r="M147" i="12"/>
  <c r="M146" i="12"/>
  <c r="M145" i="12"/>
  <c r="M144" i="12"/>
  <c r="M143" i="12"/>
  <c r="K23" i="20"/>
  <c r="N52" i="19"/>
  <c r="F126" i="12"/>
  <c r="M126" i="12" s="1"/>
  <c r="N41" i="19"/>
  <c r="H18" i="14"/>
  <c r="M44" i="19"/>
  <c r="M24" i="19"/>
  <c r="O71" i="19"/>
  <c r="J44" i="14"/>
  <c r="J12" i="14"/>
  <c r="H145" i="14"/>
  <c r="I60" i="22"/>
  <c r="H38" i="12" s="1"/>
  <c r="M29" i="19"/>
  <c r="P59" i="20"/>
  <c r="O75" i="20"/>
  <c r="J96" i="12"/>
  <c r="K96" i="12" s="1"/>
  <c r="F9" i="20"/>
  <c r="H26" i="5"/>
  <c r="I38" i="4" s="1"/>
  <c r="P17" i="19"/>
  <c r="M17" i="19"/>
  <c r="G54" i="7"/>
  <c r="H54" i="7"/>
  <c r="I12" i="20"/>
  <c r="P12" i="20" s="1"/>
  <c r="P41" i="19"/>
  <c r="M87" i="12"/>
  <c r="O88" i="20"/>
  <c r="N77" i="20"/>
  <c r="M56" i="19"/>
  <c r="J134" i="14"/>
  <c r="J114" i="14"/>
  <c r="J85" i="14"/>
  <c r="J64" i="14"/>
  <c r="J36" i="14"/>
  <c r="J46" i="14"/>
  <c r="P33" i="19"/>
  <c r="P41" i="20"/>
  <c r="N31" i="20"/>
  <c r="O28" i="20"/>
  <c r="M76" i="20"/>
  <c r="N12" i="19"/>
  <c r="O44" i="19"/>
  <c r="M43" i="19"/>
  <c r="N25" i="19"/>
  <c r="I4" i="22"/>
  <c r="H10" i="12" s="1"/>
  <c r="N49" i="19"/>
  <c r="O70" i="19"/>
  <c r="N93" i="20"/>
  <c r="N90" i="20"/>
  <c r="N86" i="20"/>
  <c r="P84" i="20"/>
  <c r="N72" i="20"/>
  <c r="N67" i="20"/>
  <c r="N64" i="20"/>
  <c r="N61" i="20"/>
  <c r="N59" i="20"/>
  <c r="M57" i="20"/>
  <c r="O51" i="20"/>
  <c r="N24" i="20"/>
  <c r="N21" i="20"/>
  <c r="O56" i="20"/>
  <c r="O16" i="20"/>
  <c r="Q46" i="20"/>
  <c r="P30" i="19"/>
  <c r="M154" i="12"/>
  <c r="M152" i="12"/>
  <c r="M151" i="12"/>
  <c r="M150" i="12"/>
  <c r="M141" i="12"/>
  <c r="M140" i="12"/>
  <c r="M134" i="12"/>
  <c r="M131" i="12"/>
  <c r="M155" i="12"/>
  <c r="M153" i="12"/>
  <c r="M149" i="12"/>
  <c r="M142" i="12"/>
  <c r="M139" i="12"/>
  <c r="M41" i="20"/>
  <c r="N46" i="20"/>
  <c r="K28" i="20"/>
  <c r="N5" i="19"/>
  <c r="N27" i="19"/>
  <c r="N46" i="19"/>
  <c r="N41" i="20"/>
  <c r="O31" i="20"/>
  <c r="Q16" i="20"/>
  <c r="N36" i="19"/>
  <c r="M55" i="19"/>
  <c r="N33" i="20"/>
  <c r="N18" i="19"/>
  <c r="O49" i="19"/>
  <c r="M66" i="19"/>
  <c r="I24" i="22"/>
  <c r="H24" i="16" s="1"/>
  <c r="H167" i="12"/>
  <c r="P20" i="20"/>
  <c r="M20" i="20"/>
  <c r="M18" i="20"/>
  <c r="F121" i="12"/>
  <c r="O51" i="19"/>
  <c r="P21" i="20"/>
  <c r="P4" i="19"/>
  <c r="G12" i="20"/>
  <c r="N12" i="20" s="1"/>
  <c r="P60" i="19"/>
  <c r="J10" i="14"/>
  <c r="J14" i="14"/>
  <c r="H6" i="14"/>
  <c r="N30" i="19"/>
  <c r="M80" i="20"/>
  <c r="M86" i="20"/>
  <c r="M67" i="20"/>
  <c r="N61" i="19"/>
  <c r="O27" i="19"/>
  <c r="P16" i="20"/>
  <c r="P81" i="20"/>
  <c r="H65" i="16"/>
  <c r="M9" i="19"/>
  <c r="M26" i="19"/>
  <c r="N54" i="19"/>
  <c r="N62" i="19"/>
  <c r="O15" i="20"/>
  <c r="O64" i="20"/>
  <c r="O72" i="20"/>
  <c r="N84" i="20"/>
  <c r="M89" i="20"/>
  <c r="I74" i="22"/>
  <c r="H45" i="12" s="1"/>
  <c r="M71" i="19"/>
  <c r="O41" i="19"/>
  <c r="O36" i="19"/>
  <c r="M64" i="19"/>
  <c r="P61" i="19"/>
  <c r="O32" i="19"/>
  <c r="O30" i="19"/>
  <c r="O12" i="19"/>
  <c r="M90" i="20"/>
  <c r="O89" i="20"/>
  <c r="M88" i="20"/>
  <c r="N83" i="20"/>
  <c r="M78" i="20"/>
  <c r="P67" i="20"/>
  <c r="O67" i="20"/>
  <c r="N66" i="20"/>
  <c r="O38" i="20"/>
  <c r="M38" i="20"/>
  <c r="N22" i="20"/>
  <c r="O20" i="20"/>
  <c r="N20" i="20"/>
  <c r="K56" i="18"/>
  <c r="L44" i="35"/>
  <c r="I10" i="22"/>
  <c r="H13" i="12" s="1"/>
  <c r="I6" i="22"/>
  <c r="H11" i="12" s="1"/>
  <c r="P64" i="20"/>
  <c r="O76" i="20"/>
  <c r="O74" i="20"/>
  <c r="O69" i="20"/>
  <c r="O53" i="20"/>
  <c r="N55" i="20"/>
  <c r="J18" i="19"/>
  <c r="O18" i="19" s="1"/>
  <c r="M6" i="19"/>
  <c r="M13" i="19"/>
  <c r="M20" i="19"/>
  <c r="M51" i="19"/>
  <c r="O56" i="19"/>
  <c r="N60" i="19"/>
  <c r="C130" i="22"/>
  <c r="H73" i="16" s="1"/>
  <c r="J5" i="19"/>
  <c r="O5" i="19" s="1"/>
  <c r="P17" i="20"/>
  <c r="O24" i="20"/>
  <c r="N69" i="20"/>
  <c r="P80" i="20"/>
  <c r="N82" i="20"/>
  <c r="O86" i="20"/>
  <c r="I121" i="22"/>
  <c r="H80" i="12" s="1"/>
  <c r="I18" i="22"/>
  <c r="H18" i="12" s="1"/>
  <c r="C135" i="22"/>
  <c r="H74" i="12" s="1"/>
  <c r="P65" i="20"/>
  <c r="L115" i="24"/>
  <c r="H17" i="6" s="1"/>
  <c r="L38" i="25"/>
  <c r="H28" i="6" s="1"/>
  <c r="Q65" i="20"/>
  <c r="J19" i="14"/>
  <c r="J148" i="14"/>
  <c r="H130" i="14"/>
  <c r="H107" i="14"/>
  <c r="J105" i="14"/>
  <c r="J99" i="14"/>
  <c r="H81" i="14"/>
  <c r="J68" i="14"/>
  <c r="H71" i="14"/>
  <c r="H39" i="14"/>
  <c r="H32" i="14"/>
  <c r="H21" i="14"/>
  <c r="H120" i="14"/>
  <c r="M38" i="19"/>
  <c r="P29" i="19"/>
  <c r="P38" i="19"/>
  <c r="P38" i="20"/>
  <c r="P19" i="20"/>
  <c r="P11" i="20"/>
  <c r="P23" i="19"/>
  <c r="P18" i="20"/>
  <c r="L219" i="32"/>
  <c r="H118" i="11" s="1"/>
  <c r="M59" i="20"/>
  <c r="N15" i="19"/>
  <c r="M47" i="19"/>
  <c r="N35" i="19"/>
  <c r="N45" i="19"/>
  <c r="O54" i="19"/>
  <c r="O60" i="19"/>
  <c r="O62" i="19"/>
  <c r="Q15" i="20"/>
  <c r="M15" i="20"/>
  <c r="M24" i="20"/>
  <c r="O37" i="20"/>
  <c r="M69" i="20"/>
  <c r="O82" i="20"/>
  <c r="P86" i="20"/>
  <c r="I80" i="22"/>
  <c r="H57" i="12" s="1"/>
  <c r="L18" i="24"/>
  <c r="H14" i="11" s="1"/>
  <c r="I115" i="22"/>
  <c r="H77" i="12" s="1"/>
  <c r="P13" i="19"/>
  <c r="P76" i="20"/>
  <c r="I90" i="22"/>
  <c r="H58" i="12" s="1"/>
  <c r="I70" i="22"/>
  <c r="H43" i="12" s="1"/>
  <c r="I86" i="22"/>
  <c r="H51" i="16" s="1"/>
  <c r="L87" i="27"/>
  <c r="O25" i="20"/>
  <c r="G10" i="20"/>
  <c r="N10" i="20" s="1"/>
  <c r="P10" i="20"/>
  <c r="H10" i="20"/>
  <c r="O10" i="20" s="1"/>
  <c r="I82" i="22"/>
  <c r="L20" i="24"/>
  <c r="J17" i="14"/>
  <c r="J132" i="14"/>
  <c r="J144" i="14"/>
  <c r="H137" i="14"/>
  <c r="H141" i="14"/>
  <c r="J112" i="14"/>
  <c r="J116" i="14"/>
  <c r="H109" i="14"/>
  <c r="H123" i="14"/>
  <c r="J83" i="14"/>
  <c r="J95" i="14"/>
  <c r="H88" i="14"/>
  <c r="H92" i="14"/>
  <c r="J62" i="14"/>
  <c r="J66" i="14"/>
  <c r="J74" i="14"/>
  <c r="H59" i="14"/>
  <c r="J34" i="14"/>
  <c r="J48" i="14"/>
  <c r="H41" i="14"/>
  <c r="H51" i="14"/>
  <c r="H96" i="14"/>
  <c r="I58" i="22"/>
  <c r="H37" i="12" s="1"/>
  <c r="I66" i="22"/>
  <c r="I64" i="22"/>
  <c r="I62" i="22"/>
  <c r="M33" i="19"/>
  <c r="P31" i="19"/>
  <c r="M31" i="19"/>
  <c r="O83" i="20"/>
  <c r="N81" i="20"/>
  <c r="M66" i="20"/>
  <c r="M63" i="20"/>
  <c r="P56" i="20"/>
  <c r="P54" i="20"/>
  <c r="N18" i="20"/>
  <c r="M14" i="20"/>
  <c r="I26" i="22"/>
  <c r="H20" i="12" s="1"/>
  <c r="K47" i="20"/>
  <c r="K45" i="20"/>
  <c r="N66" i="19"/>
  <c r="P25" i="20"/>
  <c r="O39" i="20"/>
  <c r="P39" i="20"/>
  <c r="N17" i="20"/>
  <c r="Q31" i="20"/>
  <c r="I63" i="20"/>
  <c r="P63" i="20" s="1"/>
  <c r="L96" i="29"/>
  <c r="H74" i="11" s="1"/>
  <c r="K74" i="11" s="1"/>
  <c r="I83" i="20"/>
  <c r="P83" i="20" s="1"/>
  <c r="L35" i="30"/>
  <c r="H102" i="11" s="1"/>
  <c r="F75" i="20"/>
  <c r="M75" i="20" s="1"/>
  <c r="L89" i="31"/>
  <c r="H94" i="11" s="1"/>
  <c r="I130" i="22"/>
  <c r="H75" i="12" s="1"/>
  <c r="P37" i="19"/>
  <c r="N28" i="20"/>
  <c r="P28" i="20"/>
  <c r="P18" i="19"/>
  <c r="P9" i="19"/>
  <c r="P6" i="19"/>
  <c r="P5" i="19"/>
  <c r="N54" i="20"/>
  <c r="P43" i="19"/>
  <c r="O24" i="19"/>
  <c r="P56" i="19"/>
  <c r="P54" i="19"/>
  <c r="P52" i="19"/>
  <c r="P51" i="19"/>
  <c r="O37" i="19"/>
  <c r="O26" i="19"/>
  <c r="P24" i="19"/>
  <c r="O20" i="19"/>
  <c r="N63" i="20"/>
  <c r="P72" i="20"/>
  <c r="N14" i="20"/>
  <c r="P14" i="20"/>
  <c r="Q45" i="20"/>
  <c r="O35" i="19"/>
  <c r="P12" i="19"/>
  <c r="P71" i="19"/>
  <c r="P69" i="19"/>
  <c r="O63" i="19"/>
  <c r="O61" i="19"/>
  <c r="P70" i="19"/>
  <c r="M70" i="19"/>
  <c r="M69" i="19"/>
  <c r="P66" i="19"/>
  <c r="N64" i="19"/>
  <c r="N63" i="19"/>
  <c r="O39" i="19"/>
  <c r="P36" i="19"/>
  <c r="P32" i="19"/>
  <c r="P19" i="19"/>
  <c r="O4" i="19"/>
  <c r="N65" i="20"/>
  <c r="Q39" i="20"/>
  <c r="O65" i="20"/>
  <c r="N39" i="20"/>
  <c r="N25" i="20"/>
  <c r="Q25" i="20"/>
  <c r="N97" i="20"/>
  <c r="Q98" i="20"/>
  <c r="O98" i="20"/>
  <c r="N98" i="20"/>
  <c r="Q52" i="20"/>
  <c r="Q50" i="20"/>
  <c r="Q41" i="20"/>
  <c r="Q38" i="20"/>
  <c r="Q33" i="20"/>
  <c r="Q26" i="20"/>
  <c r="Q24" i="20"/>
  <c r="Q22" i="20"/>
  <c r="Q20" i="20"/>
  <c r="P82" i="20"/>
  <c r="P71" i="20"/>
  <c r="P66" i="20"/>
  <c r="P61" i="20"/>
  <c r="P46" i="20"/>
  <c r="P32" i="20"/>
  <c r="P27" i="20"/>
  <c r="O90" i="20"/>
  <c r="O79" i="20"/>
  <c r="O77" i="20"/>
  <c r="O61" i="20"/>
  <c r="O59" i="20"/>
  <c r="O55" i="20"/>
  <c r="O26" i="20"/>
  <c r="N91" i="20"/>
  <c r="N85" i="20"/>
  <c r="M84" i="20"/>
  <c r="M64" i="20"/>
  <c r="M61" i="20"/>
  <c r="M56" i="20"/>
  <c r="M13" i="20"/>
  <c r="Q13" i="20"/>
  <c r="P90" i="20"/>
  <c r="P88" i="20"/>
  <c r="P77" i="20"/>
  <c r="P75" i="20"/>
  <c r="P74" i="20"/>
  <c r="P52" i="20"/>
  <c r="P50" i="20"/>
  <c r="P40" i="20"/>
  <c r="P33" i="20"/>
  <c r="O84" i="20"/>
  <c r="O54" i="20"/>
  <c r="O52" i="20"/>
  <c r="O50" i="20"/>
  <c r="O21" i="20"/>
  <c r="O14" i="20"/>
  <c r="N88" i="20"/>
  <c r="N80" i="20"/>
  <c r="N74" i="20"/>
  <c r="N52" i="20"/>
  <c r="N19" i="20"/>
  <c r="M77" i="20"/>
  <c r="M74" i="20"/>
  <c r="M72" i="20"/>
  <c r="P64" i="19"/>
  <c r="P49" i="19"/>
  <c r="O43" i="19"/>
  <c r="F111" i="16"/>
  <c r="P15" i="20"/>
  <c r="K15" i="20"/>
  <c r="G60" i="20"/>
  <c r="N60" i="20" s="1"/>
  <c r="L35" i="29"/>
  <c r="H71" i="6" s="1"/>
  <c r="G51" i="20"/>
  <c r="N51" i="20" s="1"/>
  <c r="L35" i="28"/>
  <c r="F91" i="20"/>
  <c r="K91" i="20" s="1"/>
  <c r="L96" i="32"/>
  <c r="L96" i="28"/>
  <c r="F54" i="20"/>
  <c r="M54" i="20" s="1"/>
  <c r="L201" i="32"/>
  <c r="K69" i="20"/>
  <c r="P69" i="20"/>
  <c r="F81" i="20"/>
  <c r="M81" i="20" s="1"/>
  <c r="L53" i="29"/>
  <c r="F40" i="20"/>
  <c r="M40" i="20" s="1"/>
  <c r="L53" i="27"/>
  <c r="M10" i="20"/>
  <c r="Q18" i="20"/>
  <c r="L35" i="26"/>
  <c r="L41" i="21"/>
  <c r="N87" i="20"/>
  <c r="P79" i="20"/>
  <c r="Q97" i="20"/>
  <c r="Q53" i="20"/>
  <c r="Q51" i="20"/>
  <c r="Q27" i="20"/>
  <c r="Q21" i="20"/>
  <c r="P91" i="20"/>
  <c r="P37" i="20"/>
  <c r="P13" i="20"/>
  <c r="O87" i="20"/>
  <c r="O85" i="20"/>
  <c r="O27" i="20"/>
  <c r="O19" i="20"/>
  <c r="N76" i="20"/>
  <c r="N32" i="20"/>
  <c r="K27" i="20"/>
  <c r="F108" i="12"/>
  <c r="N19" i="19"/>
  <c r="I94" i="22"/>
  <c r="N4" i="19"/>
  <c r="M37" i="19"/>
  <c r="M48" i="19"/>
  <c r="I117" i="22"/>
  <c r="H79" i="12" s="1"/>
  <c r="M79" i="12" s="1"/>
  <c r="O25" i="19"/>
  <c r="I113" i="22"/>
  <c r="Q17" i="20"/>
  <c r="I119" i="22"/>
  <c r="H78" i="16" s="1"/>
  <c r="I76" i="22"/>
  <c r="H46" i="16" s="1"/>
  <c r="I12" i="22"/>
  <c r="I42" i="22"/>
  <c r="I32" i="22"/>
  <c r="H26" i="16" s="1"/>
  <c r="K14" i="20"/>
  <c r="L99" i="26"/>
  <c r="L81" i="27"/>
  <c r="L155" i="29"/>
  <c r="N79" i="20"/>
  <c r="J10" i="20"/>
  <c r="Q10" i="20" s="1"/>
  <c r="I38" i="22"/>
  <c r="H31" i="16" s="1"/>
  <c r="H133" i="14"/>
  <c r="H149" i="14"/>
  <c r="J106" i="14"/>
  <c r="H111" i="14"/>
  <c r="J91" i="14"/>
  <c r="O22" i="20"/>
  <c r="Q14" i="20"/>
  <c r="P63" i="19"/>
  <c r="P35" i="19"/>
  <c r="P97" i="20"/>
  <c r="P31" i="20"/>
  <c r="O33" i="20"/>
  <c r="N75" i="20"/>
  <c r="M62" i="20"/>
  <c r="P62" i="20"/>
  <c r="O62" i="20"/>
  <c r="Q62" i="20"/>
  <c r="M30" i="20"/>
  <c r="O30" i="20"/>
  <c r="N30" i="20"/>
  <c r="P30" i="20"/>
  <c r="Q30" i="20"/>
  <c r="M23" i="20"/>
  <c r="Q23" i="20"/>
  <c r="P23" i="20"/>
  <c r="O23" i="20"/>
  <c r="N23" i="20"/>
  <c r="O73" i="20"/>
  <c r="P73" i="20"/>
  <c r="M73" i="20"/>
  <c r="M68" i="20"/>
  <c r="Q68" i="20"/>
  <c r="N68" i="20"/>
  <c r="M60" i="20"/>
  <c r="P60" i="20"/>
  <c r="O60" i="20"/>
  <c r="M51" i="20"/>
  <c r="P51" i="20"/>
  <c r="M47" i="20"/>
  <c r="O47" i="20"/>
  <c r="Q47" i="20"/>
  <c r="N45" i="20"/>
  <c r="P45" i="20"/>
  <c r="N29" i="20"/>
  <c r="P29" i="20"/>
  <c r="P46" i="19"/>
  <c r="K27" i="19"/>
  <c r="P27" i="19" s="1"/>
  <c r="I44" i="22"/>
  <c r="K25" i="19"/>
  <c r="P25" i="19" s="1"/>
  <c r="I40" i="22"/>
  <c r="J17" i="19"/>
  <c r="O17" i="19" s="1"/>
  <c r="I20" i="22"/>
  <c r="J13" i="19"/>
  <c r="O13" i="19" s="1"/>
  <c r="I22" i="22"/>
  <c r="J9" i="19"/>
  <c r="O9" i="19" s="1"/>
  <c r="I14" i="22"/>
  <c r="J6" i="19"/>
  <c r="O6" i="19" s="1"/>
  <c r="I8" i="22"/>
  <c r="J15" i="19"/>
  <c r="O15" i="19" s="1"/>
  <c r="I30" i="22"/>
  <c r="M53" i="19"/>
  <c r="O53" i="19"/>
  <c r="N53" i="19"/>
  <c r="M14" i="19"/>
  <c r="N14" i="19"/>
  <c r="M7" i="19"/>
  <c r="P7" i="19"/>
  <c r="P39" i="19"/>
  <c r="N34" i="20"/>
  <c r="M34" i="20"/>
  <c r="P78" i="20"/>
  <c r="O78" i="20"/>
  <c r="P89" i="20"/>
  <c r="N89" i="20"/>
  <c r="K53" i="20"/>
  <c r="P53" i="20"/>
  <c r="I24" i="20"/>
  <c r="P24" i="20" s="1"/>
  <c r="L17" i="25"/>
  <c r="I22" i="20"/>
  <c r="L89" i="24"/>
  <c r="H22" i="11" s="1"/>
  <c r="H68" i="20"/>
  <c r="L152" i="29"/>
  <c r="H46" i="20"/>
  <c r="L84" i="27"/>
  <c r="H41" i="20"/>
  <c r="L78" i="27"/>
  <c r="H29" i="20"/>
  <c r="L63" i="25"/>
  <c r="G96" i="20"/>
  <c r="N96" i="20" s="1"/>
  <c r="L132" i="32"/>
  <c r="G57" i="20"/>
  <c r="N57" i="20" s="1"/>
  <c r="L157" i="28"/>
  <c r="G48" i="20"/>
  <c r="L106" i="27"/>
  <c r="G38" i="20"/>
  <c r="N38" i="20" s="1"/>
  <c r="L35" i="27"/>
  <c r="K26" i="20"/>
  <c r="N26" i="20"/>
  <c r="G13" i="20"/>
  <c r="L32" i="23"/>
  <c r="G11" i="20"/>
  <c r="N11" i="20" s="1"/>
  <c r="L39" i="21"/>
  <c r="F87" i="20"/>
  <c r="M87" i="20" s="1"/>
  <c r="L78" i="32"/>
  <c r="F85" i="20"/>
  <c r="M85" i="20" s="1"/>
  <c r="L78" i="30"/>
  <c r="F71" i="20"/>
  <c r="M71" i="20" s="1"/>
  <c r="L17" i="32"/>
  <c r="F52" i="20"/>
  <c r="L53" i="28"/>
  <c r="K50" i="20"/>
  <c r="M50" i="20"/>
  <c r="F37" i="20"/>
  <c r="L17" i="27"/>
  <c r="M33" i="20"/>
  <c r="K33" i="20"/>
  <c r="F32" i="20"/>
  <c r="L80" i="26"/>
  <c r="F31" i="20"/>
  <c r="L17" i="26"/>
  <c r="F21" i="20"/>
  <c r="L70" i="24"/>
  <c r="F19" i="20"/>
  <c r="L36" i="24"/>
  <c r="F16" i="20"/>
  <c r="L118" i="24"/>
  <c r="J23" i="19"/>
  <c r="O23" i="19" s="1"/>
  <c r="I36" i="22"/>
  <c r="H5" i="14"/>
  <c r="J5" i="14"/>
  <c r="H7" i="14"/>
  <c r="J7" i="14"/>
  <c r="J9" i="14"/>
  <c r="H9" i="14"/>
  <c r="J11" i="14"/>
  <c r="H11" i="14"/>
  <c r="J13" i="14"/>
  <c r="H13" i="14"/>
  <c r="J15" i="14"/>
  <c r="H15" i="14"/>
  <c r="H22" i="14"/>
  <c r="J22" i="14"/>
  <c r="J33" i="14"/>
  <c r="H33" i="14"/>
  <c r="J35" i="14"/>
  <c r="H35" i="14"/>
  <c r="H38" i="14"/>
  <c r="J38" i="14"/>
  <c r="H40" i="14"/>
  <c r="J40" i="14"/>
  <c r="H42" i="14"/>
  <c r="J42" i="14"/>
  <c r="J47" i="14"/>
  <c r="H47" i="14"/>
  <c r="H50" i="14"/>
  <c r="J50" i="14"/>
  <c r="H58" i="14"/>
  <c r="J58" i="14"/>
  <c r="H60" i="14"/>
  <c r="J60" i="14"/>
  <c r="J63" i="14"/>
  <c r="H63" i="14"/>
  <c r="J67" i="14"/>
  <c r="H67" i="14"/>
  <c r="H72" i="14"/>
  <c r="J72" i="14"/>
  <c r="J75" i="14"/>
  <c r="H75" i="14"/>
  <c r="J82" i="14"/>
  <c r="H82" i="14"/>
  <c r="J84" i="14"/>
  <c r="H84" i="14"/>
  <c r="H87" i="14"/>
  <c r="J87" i="14"/>
  <c r="H89" i="14"/>
  <c r="J89" i="14"/>
  <c r="H93" i="14"/>
  <c r="J93" i="14"/>
  <c r="H97" i="14"/>
  <c r="J97" i="14"/>
  <c r="J100" i="14"/>
  <c r="H100" i="14"/>
  <c r="H108" i="14"/>
  <c r="J108" i="14"/>
  <c r="J113" i="14"/>
  <c r="H113" i="14"/>
  <c r="J115" i="14"/>
  <c r="H115" i="14"/>
  <c r="J117" i="14"/>
  <c r="H117" i="14"/>
  <c r="J121" i="14"/>
  <c r="H121" i="14"/>
  <c r="H124" i="14"/>
  <c r="J124" i="14"/>
  <c r="J131" i="14"/>
  <c r="H131" i="14"/>
  <c r="H138" i="14"/>
  <c r="J138" i="14"/>
  <c r="H140" i="14"/>
  <c r="J140" i="14"/>
  <c r="H142" i="14"/>
  <c r="J142" i="14"/>
  <c r="H146" i="14"/>
  <c r="J146" i="14"/>
  <c r="O18" i="20"/>
  <c r="K18" i="20"/>
  <c r="H63" i="16"/>
  <c r="L17" i="23"/>
  <c r="L19" i="21"/>
  <c r="Q48" i="20"/>
  <c r="Q40" i="20"/>
  <c r="Q37" i="20"/>
  <c r="Q34" i="20"/>
  <c r="Q32" i="20"/>
  <c r="P96" i="20"/>
  <c r="P85" i="20"/>
  <c r="P55" i="20"/>
  <c r="O96" i="20"/>
  <c r="O71" i="20"/>
  <c r="O57" i="20"/>
  <c r="O48" i="20"/>
  <c r="O40" i="20"/>
  <c r="O32" i="20"/>
  <c r="N71" i="20"/>
  <c r="L132" i="29"/>
  <c r="M79" i="20"/>
  <c r="K68" i="35"/>
  <c r="N57" i="19"/>
  <c r="O57" i="19"/>
  <c r="O66" i="20"/>
  <c r="P68" i="20"/>
  <c r="N8" i="19"/>
  <c r="N42" i="19"/>
  <c r="O48" i="19"/>
  <c r="O7" i="19"/>
  <c r="I72" i="22"/>
  <c r="I88" i="22"/>
  <c r="M17" i="20"/>
  <c r="N27" i="20"/>
  <c r="Q29" i="20"/>
  <c r="M29" i="20"/>
  <c r="N40" i="20"/>
  <c r="O45" i="20"/>
  <c r="P47" i="20"/>
  <c r="M53" i="20"/>
  <c r="P57" i="20"/>
  <c r="I84" i="22"/>
  <c r="O68" i="19"/>
  <c r="L51" i="24"/>
  <c r="L36" i="25"/>
  <c r="L78" i="28"/>
  <c r="P47" i="19"/>
  <c r="O8" i="19"/>
  <c r="P68" i="19"/>
  <c r="P14" i="19"/>
  <c r="L125" i="31"/>
  <c r="O55" i="19"/>
  <c r="P48" i="20"/>
  <c r="Q54" i="20"/>
  <c r="L17" i="28"/>
  <c r="L17" i="31"/>
  <c r="L58" i="25"/>
  <c r="J136" i="14"/>
  <c r="J70" i="14"/>
  <c r="H65" i="14"/>
  <c r="H56" i="14"/>
  <c r="J3" i="14"/>
  <c r="M28" i="20"/>
  <c r="Q28" i="20"/>
  <c r="M26" i="20"/>
  <c r="P26" i="20"/>
  <c r="P45" i="19"/>
  <c r="J19" i="19"/>
  <c r="O19" i="19" s="1"/>
  <c r="I28" i="22"/>
  <c r="O69" i="19"/>
  <c r="N69" i="19"/>
  <c r="L142" i="26"/>
  <c r="G73" i="20"/>
  <c r="N73" i="20" s="1"/>
  <c r="L53" i="31"/>
  <c r="F55" i="20"/>
  <c r="M55" i="20" s="1"/>
  <c r="L114" i="28"/>
  <c r="M11" i="20"/>
  <c r="F12" i="20"/>
  <c r="J12" i="20"/>
  <c r="Q12" i="20" s="1"/>
  <c r="G9" i="20"/>
  <c r="H9" i="20"/>
  <c r="J4" i="14"/>
  <c r="H4" i="14"/>
  <c r="F122" i="16"/>
  <c r="P57" i="19"/>
  <c r="P55" i="19"/>
  <c r="P53" i="19"/>
  <c r="P48" i="19"/>
  <c r="P42" i="19"/>
  <c r="O45" i="19"/>
  <c r="O42" i="19"/>
  <c r="O14" i="19"/>
  <c r="Q11" i="20"/>
  <c r="P87" i="20"/>
  <c r="P34" i="20"/>
  <c r="O91" i="20"/>
  <c r="O81" i="20"/>
  <c r="O63" i="20"/>
  <c r="O11" i="20"/>
  <c r="K20" i="20"/>
  <c r="M96" i="20"/>
  <c r="M83" i="20"/>
  <c r="P65" i="19"/>
  <c r="P62" i="19"/>
  <c r="P8" i="19"/>
  <c r="M65" i="19"/>
  <c r="M68" i="19"/>
  <c r="O47" i="19"/>
  <c r="O97" i="20"/>
  <c r="P98" i="20"/>
  <c r="L96" i="30"/>
  <c r="F98" i="20"/>
  <c r="Q91" i="20"/>
  <c r="J90" i="20"/>
  <c r="L147" i="32"/>
  <c r="Q87" i="20"/>
  <c r="J86" i="20"/>
  <c r="L53" i="32"/>
  <c r="Q83" i="20"/>
  <c r="J82" i="20"/>
  <c r="L17" i="30"/>
  <c r="K79" i="20"/>
  <c r="Q79" i="20"/>
  <c r="J78" i="20"/>
  <c r="L143" i="31"/>
  <c r="Q75" i="20"/>
  <c r="J74" i="20"/>
  <c r="L71" i="31"/>
  <c r="Q71" i="20"/>
  <c r="J67" i="20"/>
  <c r="Q67" i="20" s="1"/>
  <c r="L150" i="29"/>
  <c r="Q63" i="20"/>
  <c r="J61" i="20"/>
  <c r="L78" i="29"/>
  <c r="Q57" i="20"/>
  <c r="J56" i="20"/>
  <c r="L139" i="28"/>
  <c r="H63" i="19"/>
  <c r="M63" i="19" s="1"/>
  <c r="L175" i="28"/>
  <c r="F97" i="20"/>
  <c r="L165" i="32"/>
  <c r="H116" i="6" s="1"/>
  <c r="Q96" i="20"/>
  <c r="J93" i="20"/>
  <c r="L114" i="32"/>
  <c r="Q89" i="20"/>
  <c r="K89" i="20"/>
  <c r="J88" i="20"/>
  <c r="L183" i="32"/>
  <c r="Q85" i="20"/>
  <c r="J84" i="20"/>
  <c r="L53" i="30"/>
  <c r="Q81" i="20"/>
  <c r="J80" i="20"/>
  <c r="L35" i="31"/>
  <c r="K77" i="20"/>
  <c r="Q77" i="20"/>
  <c r="J76" i="20"/>
  <c r="Q76" i="20" s="1"/>
  <c r="L107" i="31"/>
  <c r="Q73" i="20"/>
  <c r="J72" i="20"/>
  <c r="L35" i="32"/>
  <c r="K66" i="20"/>
  <c r="Q66" i="20"/>
  <c r="J64" i="20"/>
  <c r="L114" i="29"/>
  <c r="Q60" i="20"/>
  <c r="J59" i="20"/>
  <c r="Q59" i="20" s="1"/>
  <c r="L17" i="29"/>
  <c r="Q55" i="20"/>
  <c r="N21" i="41" l="1"/>
  <c r="J95" i="16" s="1"/>
  <c r="H28" i="11"/>
  <c r="H68" i="12"/>
  <c r="K49" i="33"/>
  <c r="H64" i="12"/>
  <c r="I29" i="17"/>
  <c r="J28" i="33"/>
  <c r="H66" i="16"/>
  <c r="H61" i="16"/>
  <c r="H62" i="16"/>
  <c r="K81" i="20"/>
  <c r="M74" i="19"/>
  <c r="H15" i="5" s="1"/>
  <c r="O74" i="19"/>
  <c r="P74" i="19"/>
  <c r="H18" i="5" s="1"/>
  <c r="N74" i="19"/>
  <c r="H16" i="5" s="1"/>
  <c r="K97" i="16"/>
  <c r="H75" i="16"/>
  <c r="H24" i="12"/>
  <c r="K49" i="35"/>
  <c r="M68" i="35"/>
  <c r="M117" i="35"/>
  <c r="K72" i="35"/>
  <c r="K6" i="35"/>
  <c r="M2" i="35"/>
  <c r="H123" i="11"/>
  <c r="K92" i="20"/>
  <c r="M92" i="20"/>
  <c r="H111" i="6"/>
  <c r="H111" i="11"/>
  <c r="H56" i="16"/>
  <c r="N2" i="41"/>
  <c r="H69" i="6"/>
  <c r="J69" i="6" s="1"/>
  <c r="M56" i="41"/>
  <c r="M30" i="41"/>
  <c r="H34" i="5"/>
  <c r="I42" i="4" s="1"/>
  <c r="K75" i="20"/>
  <c r="K83" i="20"/>
  <c r="M74" i="11"/>
  <c r="H71" i="11"/>
  <c r="H67" i="16"/>
  <c r="M26" i="35"/>
  <c r="I83" i="12"/>
  <c r="H83" i="12"/>
  <c r="J83" i="12"/>
  <c r="K24" i="20"/>
  <c r="H28" i="14"/>
  <c r="G104" i="12" s="1"/>
  <c r="K11" i="20"/>
  <c r="H101" i="20"/>
  <c r="H43" i="16"/>
  <c r="H20" i="16"/>
  <c r="I37" i="4"/>
  <c r="H54" i="16"/>
  <c r="H18" i="6"/>
  <c r="H18" i="11"/>
  <c r="H13" i="16"/>
  <c r="H53" i="14"/>
  <c r="J151" i="14"/>
  <c r="H104" i="16" s="1"/>
  <c r="J102" i="14"/>
  <c r="J53" i="14"/>
  <c r="H126" i="14"/>
  <c r="H76" i="12"/>
  <c r="H76" i="16"/>
  <c r="H120" i="11"/>
  <c r="H119" i="6"/>
  <c r="H77" i="14"/>
  <c r="H119" i="11"/>
  <c r="H118" i="6"/>
  <c r="H35" i="11"/>
  <c r="K35" i="11" s="1"/>
  <c r="H35" i="6"/>
  <c r="J77" i="14"/>
  <c r="H102" i="14"/>
  <c r="J126" i="14"/>
  <c r="H151" i="14"/>
  <c r="J28" i="14"/>
  <c r="G101" i="20"/>
  <c r="I101" i="20"/>
  <c r="J101" i="20"/>
  <c r="M9" i="20"/>
  <c r="F101" i="20"/>
  <c r="M91" i="20"/>
  <c r="H74" i="16"/>
  <c r="H46" i="12"/>
  <c r="H58" i="16"/>
  <c r="H37" i="16"/>
  <c r="H38" i="16"/>
  <c r="H57" i="16"/>
  <c r="H11" i="16"/>
  <c r="H73" i="12"/>
  <c r="H45" i="16"/>
  <c r="H79" i="16"/>
  <c r="J82" i="12"/>
  <c r="H82" i="12"/>
  <c r="J123" i="11"/>
  <c r="H69" i="11"/>
  <c r="J69" i="11" s="1"/>
  <c r="H10" i="16"/>
  <c r="H23" i="11"/>
  <c r="H23" i="6"/>
  <c r="H94" i="6"/>
  <c r="H74" i="6"/>
  <c r="K60" i="20"/>
  <c r="K85" i="20"/>
  <c r="K96" i="20"/>
  <c r="K57" i="20"/>
  <c r="K63" i="20"/>
  <c r="K71" i="20"/>
  <c r="K87" i="20"/>
  <c r="K38" i="20"/>
  <c r="K51" i="20"/>
  <c r="H18" i="16"/>
  <c r="H51" i="12"/>
  <c r="H14" i="6"/>
  <c r="K73" i="20"/>
  <c r="K40" i="20"/>
  <c r="H31" i="12"/>
  <c r="H26" i="12"/>
  <c r="H17" i="11"/>
  <c r="H102" i="6"/>
  <c r="H77" i="16"/>
  <c r="H78" i="12"/>
  <c r="K54" i="20"/>
  <c r="M80" i="12"/>
  <c r="H80" i="16"/>
  <c r="H40" i="16"/>
  <c r="H40" i="12"/>
  <c r="H15" i="6"/>
  <c r="H15" i="11"/>
  <c r="H58" i="6"/>
  <c r="H58" i="11"/>
  <c r="H39" i="16"/>
  <c r="H39" i="12"/>
  <c r="H41" i="16"/>
  <c r="H41" i="12"/>
  <c r="H52" i="12"/>
  <c r="H52" i="16"/>
  <c r="H56" i="6"/>
  <c r="H56" i="11"/>
  <c r="H33" i="16"/>
  <c r="H33" i="12"/>
  <c r="H10" i="6"/>
  <c r="H10" i="11"/>
  <c r="H65" i="6"/>
  <c r="H65" i="11"/>
  <c r="H80" i="6"/>
  <c r="H80" i="11"/>
  <c r="H33" i="6"/>
  <c r="H33" i="11"/>
  <c r="H14" i="12"/>
  <c r="H14" i="16"/>
  <c r="H71" i="12"/>
  <c r="H71" i="16"/>
  <c r="H60" i="12"/>
  <c r="H60" i="16"/>
  <c r="H51" i="6"/>
  <c r="H51" i="11"/>
  <c r="H100" i="11"/>
  <c r="H100" i="6"/>
  <c r="H108" i="11"/>
  <c r="H108" i="6"/>
  <c r="H110" i="11"/>
  <c r="H110" i="6"/>
  <c r="H62" i="6"/>
  <c r="H62" i="11"/>
  <c r="K10" i="20"/>
  <c r="N9" i="20"/>
  <c r="K9" i="20"/>
  <c r="K12" i="20"/>
  <c r="M12" i="20"/>
  <c r="O34" i="20"/>
  <c r="H27" i="6"/>
  <c r="H27" i="11"/>
  <c r="H98" i="11"/>
  <c r="H98" i="6"/>
  <c r="H96" i="11"/>
  <c r="H96" i="6"/>
  <c r="H64" i="6"/>
  <c r="H64" i="11"/>
  <c r="H20" i="6"/>
  <c r="H20" i="11"/>
  <c r="H53" i="16"/>
  <c r="H53" i="12"/>
  <c r="H50" i="16"/>
  <c r="H50" i="12"/>
  <c r="H77" i="6"/>
  <c r="H77" i="11"/>
  <c r="H9" i="6"/>
  <c r="K9" i="6" s="1"/>
  <c r="H9" i="11"/>
  <c r="M9" i="11" s="1"/>
  <c r="H30" i="16"/>
  <c r="H30" i="12"/>
  <c r="H16" i="11"/>
  <c r="H16" i="6"/>
  <c r="H19" i="6"/>
  <c r="H19" i="11"/>
  <c r="H21" i="6"/>
  <c r="H21" i="11"/>
  <c r="H31" i="6"/>
  <c r="H31" i="11"/>
  <c r="H32" i="6"/>
  <c r="H32" i="11"/>
  <c r="H48" i="6"/>
  <c r="H48" i="11"/>
  <c r="H63" i="11"/>
  <c r="H63" i="6"/>
  <c r="H90" i="11"/>
  <c r="H90" i="6"/>
  <c r="H104" i="11"/>
  <c r="H104" i="6"/>
  <c r="H106" i="11"/>
  <c r="H106" i="6"/>
  <c r="H11" i="6"/>
  <c r="H11" i="11"/>
  <c r="H13" i="6"/>
  <c r="H13" i="11"/>
  <c r="H49" i="11"/>
  <c r="H49" i="6"/>
  <c r="H59" i="6"/>
  <c r="H59" i="11"/>
  <c r="H68" i="6"/>
  <c r="H68" i="11"/>
  <c r="H115" i="11"/>
  <c r="H115" i="6"/>
  <c r="H29" i="6"/>
  <c r="H29" i="11"/>
  <c r="H52" i="11"/>
  <c r="H52" i="6"/>
  <c r="H57" i="6"/>
  <c r="H57" i="11"/>
  <c r="H79" i="11"/>
  <c r="H79" i="6"/>
  <c r="H22" i="6"/>
  <c r="H24" i="11"/>
  <c r="H24" i="6"/>
  <c r="K67" i="20"/>
  <c r="O9" i="20"/>
  <c r="H66" i="6"/>
  <c r="H66" i="11"/>
  <c r="H92" i="11"/>
  <c r="H92" i="6"/>
  <c r="H34" i="6"/>
  <c r="H34" i="11"/>
  <c r="H25" i="16"/>
  <c r="H25" i="12"/>
  <c r="H61" i="6"/>
  <c r="H61" i="11"/>
  <c r="H26" i="6"/>
  <c r="H26" i="11"/>
  <c r="H44" i="16"/>
  <c r="H44" i="12"/>
  <c r="H12" i="11"/>
  <c r="H12" i="6"/>
  <c r="K16" i="20"/>
  <c r="M16" i="20"/>
  <c r="M19" i="20"/>
  <c r="K19" i="20"/>
  <c r="K21" i="20"/>
  <c r="M21" i="20"/>
  <c r="K31" i="20"/>
  <c r="M31" i="20"/>
  <c r="M32" i="20"/>
  <c r="K32" i="20"/>
  <c r="K37" i="20"/>
  <c r="M37" i="20"/>
  <c r="M52" i="20"/>
  <c r="K52" i="20"/>
  <c r="N13" i="20"/>
  <c r="K13" i="20"/>
  <c r="N48" i="20"/>
  <c r="K48" i="20"/>
  <c r="K29" i="20"/>
  <c r="O29" i="20"/>
  <c r="O41" i="20"/>
  <c r="K41" i="20"/>
  <c r="K46" i="20"/>
  <c r="O46" i="20"/>
  <c r="K68" i="20"/>
  <c r="O68" i="20"/>
  <c r="K22" i="20"/>
  <c r="P22" i="20"/>
  <c r="H21" i="16"/>
  <c r="H21" i="12"/>
  <c r="H12" i="12"/>
  <c r="H12" i="16"/>
  <c r="H15" i="12"/>
  <c r="H15" i="16"/>
  <c r="H19" i="12"/>
  <c r="H19" i="16"/>
  <c r="H23" i="12"/>
  <c r="H23" i="16"/>
  <c r="H32" i="12"/>
  <c r="H32" i="16"/>
  <c r="H34" i="16"/>
  <c r="H34" i="12"/>
  <c r="K55" i="20"/>
  <c r="H70" i="6"/>
  <c r="H70" i="11"/>
  <c r="H75" i="6"/>
  <c r="H75" i="11"/>
  <c r="H91" i="11"/>
  <c r="H91" i="6"/>
  <c r="H95" i="11"/>
  <c r="H95" i="6"/>
  <c r="H99" i="11"/>
  <c r="H99" i="6"/>
  <c r="H103" i="11"/>
  <c r="H103" i="6"/>
  <c r="H107" i="6"/>
  <c r="H107" i="11"/>
  <c r="H113" i="11"/>
  <c r="H113" i="6"/>
  <c r="H116" i="11"/>
  <c r="H72" i="12"/>
  <c r="H72" i="16"/>
  <c r="Q56" i="20"/>
  <c r="K56" i="20"/>
  <c r="K61" i="20"/>
  <c r="Q61" i="20"/>
  <c r="K74" i="20"/>
  <c r="Q74" i="20"/>
  <c r="Q78" i="20"/>
  <c r="K78" i="20"/>
  <c r="Q82" i="20"/>
  <c r="K82" i="20"/>
  <c r="Q86" i="20"/>
  <c r="K86" i="20"/>
  <c r="Q90" i="20"/>
  <c r="K90" i="20"/>
  <c r="H117" i="6"/>
  <c r="H117" i="11"/>
  <c r="K59" i="20"/>
  <c r="Q64" i="20"/>
  <c r="K64" i="20"/>
  <c r="Q72" i="20"/>
  <c r="K72" i="20"/>
  <c r="Q80" i="20"/>
  <c r="K80" i="20"/>
  <c r="K84" i="20"/>
  <c r="Q84" i="20"/>
  <c r="K88" i="20"/>
  <c r="Q88" i="20"/>
  <c r="K93" i="20"/>
  <c r="Q93" i="20"/>
  <c r="M97" i="20"/>
  <c r="K97" i="20"/>
  <c r="H67" i="6"/>
  <c r="H67" i="11"/>
  <c r="H72" i="6"/>
  <c r="H72" i="11"/>
  <c r="H78" i="6"/>
  <c r="H78" i="11"/>
  <c r="H93" i="11"/>
  <c r="H93" i="6"/>
  <c r="H97" i="11"/>
  <c r="H97" i="6"/>
  <c r="H101" i="11"/>
  <c r="H101" i="6"/>
  <c r="H105" i="11"/>
  <c r="H105" i="6"/>
  <c r="H109" i="11"/>
  <c r="H109" i="6"/>
  <c r="K98" i="20"/>
  <c r="M98" i="20"/>
  <c r="K76" i="20"/>
  <c r="K95" i="16" l="1"/>
  <c r="I95" i="12"/>
  <c r="M95" i="12" s="1"/>
  <c r="N22" i="41"/>
  <c r="J96" i="16" s="1"/>
  <c r="K96" i="16" s="1"/>
  <c r="H50" i="33"/>
  <c r="J60" i="33" s="1"/>
  <c r="I40" i="4" s="1"/>
  <c r="G103" i="12"/>
  <c r="P76" i="19"/>
  <c r="L90" i="12" s="1"/>
  <c r="O76" i="19"/>
  <c r="H17" i="5"/>
  <c r="H19" i="5" s="1"/>
  <c r="I98" i="12"/>
  <c r="K98" i="16"/>
  <c r="K1" i="35"/>
  <c r="K83" i="12"/>
  <c r="I97" i="12"/>
  <c r="M97" i="12" s="1"/>
  <c r="M83" i="12"/>
  <c r="K72" i="11"/>
  <c r="M72" i="11"/>
  <c r="K24" i="11"/>
  <c r="M24" i="11"/>
  <c r="K29" i="11"/>
  <c r="M29" i="11"/>
  <c r="K59" i="11"/>
  <c r="M59" i="11"/>
  <c r="K48" i="11"/>
  <c r="M48" i="11"/>
  <c r="K31" i="11"/>
  <c r="M31" i="11"/>
  <c r="K77" i="11"/>
  <c r="M77" i="11"/>
  <c r="K51" i="11"/>
  <c r="M51" i="11"/>
  <c r="K26" i="11"/>
  <c r="M26" i="11"/>
  <c r="K61" i="11"/>
  <c r="M61" i="11"/>
  <c r="G105" i="12"/>
  <c r="K83" i="16"/>
  <c r="H105" i="16"/>
  <c r="H106" i="16"/>
  <c r="K103" i="20"/>
  <c r="K101" i="20"/>
  <c r="L58" i="20"/>
  <c r="K69" i="6"/>
  <c r="I69" i="11" s="1"/>
  <c r="M76" i="19"/>
  <c r="N76" i="19"/>
  <c r="L98" i="16" l="1"/>
  <c r="I39" i="4" s="1"/>
  <c r="E61" i="17"/>
  <c r="L90" i="16"/>
  <c r="L91" i="16"/>
  <c r="L91" i="12"/>
  <c r="L92" i="16"/>
  <c r="H22" i="5" s="1"/>
  <c r="L92" i="12"/>
  <c r="L93" i="16"/>
  <c r="H21" i="5" s="1"/>
  <c r="L93" i="12"/>
  <c r="H24" i="5"/>
  <c r="H28" i="5"/>
  <c r="I96" i="12"/>
  <c r="M96" i="12" s="1"/>
  <c r="M69" i="11"/>
  <c r="K69" i="11"/>
  <c r="P58" i="20"/>
  <c r="Q58" i="20"/>
  <c r="O58" i="20"/>
  <c r="R58" i="20"/>
  <c r="M58" i="20"/>
  <c r="M101" i="20" s="1"/>
  <c r="N58" i="20"/>
  <c r="L101" i="20"/>
  <c r="R76" i="19"/>
  <c r="H23" i="5" l="1"/>
  <c r="H25" i="5" s="1"/>
  <c r="H8" i="5"/>
  <c r="O101" i="20"/>
  <c r="H10" i="5" s="1"/>
  <c r="P101" i="20"/>
  <c r="H11" i="5" s="1"/>
  <c r="N101" i="20"/>
  <c r="H9" i="5" s="1"/>
  <c r="Q101" i="20"/>
  <c r="H12" i="5" s="1"/>
  <c r="H13" i="5" l="1"/>
  <c r="S101" i="20"/>
  <c r="K122" i="6"/>
  <c r="K124" i="6" s="1"/>
  <c r="E125" i="11" l="1"/>
  <c r="L124" i="6"/>
  <c r="I123" i="11"/>
  <c r="K123" i="11" s="1"/>
  <c r="G116" i="12"/>
  <c r="H117" i="16"/>
  <c r="G115" i="12"/>
  <c r="H116" i="16"/>
  <c r="G114" i="12"/>
  <c r="H115" i="16"/>
  <c r="H108" i="16"/>
  <c r="G107" i="12"/>
  <c r="G113" i="12"/>
  <c r="H114" i="16"/>
  <c r="G109" i="12"/>
  <c r="H110" i="16"/>
  <c r="H112" i="16"/>
  <c r="G111" i="12"/>
  <c r="H113" i="16"/>
  <c r="G112" i="12"/>
  <c r="H111" i="16"/>
  <c r="G110" i="12"/>
  <c r="H118" i="16"/>
  <c r="G117" i="12"/>
  <c r="M123" i="11" l="1"/>
  <c r="M125" i="11" s="1"/>
  <c r="K125" i="11"/>
  <c r="K82" i="16" l="1"/>
  <c r="I82" i="12"/>
  <c r="M82" i="12" l="1"/>
  <c r="K82" i="12"/>
  <c r="B25" i="5"/>
  <c r="I36" i="4" s="1"/>
  <c r="G127" i="12" l="1"/>
  <c r="K128" i="16"/>
  <c r="L167" i="16" s="1"/>
  <c r="K167" i="16" l="1"/>
  <c r="F168" i="12" s="1"/>
  <c r="I83" i="16"/>
  <c r="H30" i="5" s="1"/>
  <c r="I41" i="4" s="1"/>
  <c r="F127" i="12"/>
  <c r="M127" i="12" s="1"/>
  <c r="H37" i="5" l="1"/>
  <c r="E36" i="4"/>
  <c r="E27" i="10" s="1"/>
  <c r="E44" i="4" l="1"/>
  <c r="B5" i="38" s="1"/>
  <c r="G18" i="43" l="1"/>
  <c r="B39" i="2"/>
  <c r="F29" i="4"/>
  <c r="G32" i="4" s="1"/>
  <c r="G98" i="12" l="1"/>
  <c r="M98" i="12" s="1"/>
  <c r="M168" i="12" s="1"/>
  <c r="G95" i="42"/>
  <c r="K97" i="12"/>
  <c r="K98" i="12" l="1"/>
  <c r="K168" i="12" s="1"/>
  <c r="E17" i="10" s="1"/>
  <c r="B5" i="40" s="1"/>
  <c r="E25" i="10" l="1"/>
  <c r="B54" i="7"/>
  <c r="G22" i="43"/>
  <c r="H29" i="10" l="1"/>
  <c r="F8" i="10"/>
  <c r="G11" i="10" s="1"/>
</calcChain>
</file>

<file path=xl/sharedStrings.xml><?xml version="1.0" encoding="utf-8"?>
<sst xmlns="http://schemas.openxmlformats.org/spreadsheetml/2006/main" count="3996" uniqueCount="1448">
  <si>
    <t>I.5 Activity Information:</t>
  </si>
  <si>
    <t xml:space="preserve">Schedule internal personnel, </t>
  </si>
  <si>
    <t>Other Mileage (enter total mileage not including office to site)</t>
  </si>
  <si>
    <t>PM</t>
  </si>
  <si>
    <t>PE/PE</t>
  </si>
  <si>
    <t>Staff G</t>
  </si>
  <si>
    <t>Draft</t>
  </si>
  <si>
    <t>Cleric</t>
  </si>
  <si>
    <t>St Geologist</t>
  </si>
  <si>
    <t>clerical</t>
  </si>
  <si>
    <t>Title</t>
  </si>
  <si>
    <t>Total Cost</t>
  </si>
  <si>
    <t>Field Time</t>
  </si>
  <si>
    <t>Analytical</t>
  </si>
  <si>
    <t>Travel Time</t>
  </si>
  <si>
    <t>Per Diem</t>
  </si>
  <si>
    <t>G</t>
  </si>
  <si>
    <t>Tech</t>
  </si>
  <si>
    <t>Alabama Tank Trust Fund Itemization Form Cost Summary</t>
  </si>
  <si>
    <t>Personnel</t>
  </si>
  <si>
    <t>Estimate Percent Completion of entire project to date:</t>
  </si>
  <si>
    <t>Any other incidentals/miscellaneous tasks not listed</t>
  </si>
  <si>
    <t xml:space="preserve">Any other incidentals/miscellaneous tasks not listed </t>
  </si>
  <si>
    <r>
      <t>Adder amount for every field day over 2 days</t>
    </r>
    <r>
      <rPr>
        <sz val="8"/>
        <rFont val="Arial"/>
        <family val="2"/>
      </rPr>
      <t>(not to exceed 14 days)</t>
    </r>
  </si>
  <si>
    <t xml:space="preserve">Initial Abatement Report (other than just MEME) </t>
  </si>
  <si>
    <t>Visit Court house or search for records online</t>
  </si>
  <si>
    <t>Review information for accuracy</t>
  </si>
  <si>
    <t>Staff Geologist/</t>
  </si>
  <si>
    <t>Scientist</t>
  </si>
  <si>
    <t>Review Report for technical accuracy</t>
  </si>
  <si>
    <t>Interpret data, prepare report, prepare additional well installation plan</t>
  </si>
  <si>
    <t>Additional Well Installation Plan oversight</t>
  </si>
  <si>
    <t>Obtain offsite property access for drilling, Payment Request</t>
  </si>
  <si>
    <t>/document</t>
  </si>
  <si>
    <t>adjacent property owner infor</t>
  </si>
  <si>
    <t>Staff Engineer Geologist Scientist</t>
  </si>
  <si>
    <t>Interpret data, prepare report, data QA/QC</t>
  </si>
  <si>
    <t>Interpret data, prepare plan and report, data QA/QC</t>
  </si>
  <si>
    <t>FREE PRODUCT RECOVERY REPORT (not MEME)</t>
  </si>
  <si>
    <t>Staff Engineer/Geologist/Scientist</t>
  </si>
  <si>
    <t>Hire Subcontractors, Waste Disposal</t>
  </si>
  <si>
    <t>/hr</t>
  </si>
  <si>
    <t>MEME Event/Pilot Test (hourly rate)</t>
  </si>
  <si>
    <t>Submersible Pump</t>
  </si>
  <si>
    <t>DPVE Pilot Test/Aquifer Test (hourly rate)</t>
  </si>
  <si>
    <t>Unit Rate for each field day over 2 days</t>
  </si>
  <si>
    <t>Unit Rate Report Time for each field day over 2 days:</t>
  </si>
  <si>
    <t>Total Report Time to never exceed $5,650. Regardless of days of field work.</t>
  </si>
  <si>
    <t>prepare CP/PR, select lab, waste handling/disposal</t>
  </si>
  <si>
    <t>prepare cost proposal/payment request,</t>
  </si>
  <si>
    <t>Schedule internal personnel, cost proposal</t>
  </si>
  <si>
    <t>Copy, sort, mail documents, cost proposal payment request</t>
  </si>
  <si>
    <t>Copy, sort, mail documents, cost proposal/ payment request</t>
  </si>
  <si>
    <t>Copy, sort, mail documents, cost proposal /payment request</t>
  </si>
  <si>
    <t>Copy, sort, mail documents,  cost proposal/payment request</t>
  </si>
  <si>
    <t>Off-site access-Residential</t>
  </si>
  <si>
    <r>
      <t xml:space="preserve">Other Plan/Report </t>
    </r>
    <r>
      <rPr>
        <sz val="8"/>
        <rFont val="Arial"/>
        <family val="2"/>
      </rPr>
      <t xml:space="preserve"> (hours and documentation required)</t>
    </r>
  </si>
  <si>
    <t>DPVE Pump and Treat O&amp;M 4 months</t>
  </si>
  <si>
    <t>/triannual</t>
  </si>
  <si>
    <t>Ozone, biosparge, sve, biovent and Air Sparge O&amp;M 4 months</t>
  </si>
  <si>
    <t>Monitoring Well Pad Repair</t>
  </si>
  <si>
    <t>Environmental Covenant preparation</t>
  </si>
  <si>
    <t>Roll off Dumpster (includes hauling/handling)</t>
  </si>
  <si>
    <t>Adjacent Property Owner Information (additional effort)</t>
  </si>
  <si>
    <t>DPVE Pilot Test Plan (not for Slug Test)</t>
  </si>
  <si>
    <t>AS/SVE or Ozone Pilot Test Plan</t>
  </si>
  <si>
    <t>ISCO or Bio-Remediation Pilot Test Plan</t>
  </si>
  <si>
    <t>ISCO or Bio-Remediation Pilot Test Report</t>
  </si>
  <si>
    <t>Public Water Line Replacement Plan</t>
  </si>
  <si>
    <t>Public Water Line Replacement Report</t>
  </si>
  <si>
    <t>Replace Public Water Line Report (public water main is damaged)</t>
  </si>
  <si>
    <t>Unit Rate Replace Damaged Water Main Plan</t>
  </si>
  <si>
    <t>Unit Rate Replace Damaged Water Main Report</t>
  </si>
  <si>
    <t>Municipal Sewer Application Process (ADEM or Others)</t>
  </si>
  <si>
    <t>IDW/Treatment Disposal Plan (stand alone)</t>
  </si>
  <si>
    <t>IDW/Treatment Disposal Report (stand alone)</t>
  </si>
  <si>
    <t>Multimeter</t>
  </si>
  <si>
    <t>Ethanol</t>
  </si>
  <si>
    <t>Methanol</t>
  </si>
  <si>
    <t>Generator (5Kw)</t>
  </si>
  <si>
    <t>Compaction</t>
  </si>
  <si>
    <t>/week</t>
  </si>
  <si>
    <t>Drums</t>
  </si>
  <si>
    <t>Off-site access- Residential</t>
  </si>
  <si>
    <t>CAP Modification</t>
  </si>
  <si>
    <t>Unit Rate offsite access-Residential</t>
  </si>
  <si>
    <t>Excavation</t>
  </si>
  <si>
    <t>Offsite Access-Residential</t>
  </si>
  <si>
    <t xml:space="preserve">contact property, contact utilities/screening owners/tank owners (for drilling), </t>
  </si>
  <si>
    <t xml:space="preserve">Initial Abatement Free Product Recovery Report </t>
  </si>
  <si>
    <t>Total Field Time</t>
  </si>
  <si>
    <t>Total Travel Time</t>
  </si>
  <si>
    <t>Other Field Work not listed (hours and documentation required)</t>
  </si>
  <si>
    <t>Plan / Report Time</t>
  </si>
  <si>
    <t>Total Plan/Report Time</t>
  </si>
  <si>
    <t>Rolloff dumpster</t>
  </si>
  <si>
    <t>Equipment and Equipment Kits</t>
  </si>
  <si>
    <t>Pressure Transducer/data logger</t>
  </si>
  <si>
    <t>/ea</t>
  </si>
  <si>
    <t>Bailers</t>
  </si>
  <si>
    <t>/bailer</t>
  </si>
  <si>
    <t>CAP Modification (requires detailed attachment)</t>
  </si>
  <si>
    <t>Environmental Covenant</t>
  </si>
  <si>
    <t>Unit Rate Additional Well Installation Plan &gt;4 wells</t>
  </si>
  <si>
    <t>Unit Rate Additional Well Installation Plan1- 4 wells</t>
  </si>
  <si>
    <t>Additional Well Installation Report (Investigative phase &gt;4 wells)</t>
  </si>
  <si>
    <t>Unit Rate Additional Well Install Report &gt;4 wells</t>
  </si>
  <si>
    <t>Unit Rate Additional Well Install Report 1-4 wells</t>
  </si>
  <si>
    <t>Additional Well Installation Plan (investigation 1-4 wells)</t>
  </si>
  <si>
    <t>Additional Well Installation Plan (investigation &gt;4 wells)</t>
  </si>
  <si>
    <t>Sample Public Well</t>
  </si>
  <si>
    <t>Sample Private Well</t>
  </si>
  <si>
    <t>Offsite Access-Commercial</t>
  </si>
  <si>
    <t>Unit Rate offsite access-Commercial</t>
  </si>
  <si>
    <t>Additional Well Installation Plan (1-4)</t>
  </si>
  <si>
    <t>Additional Well Installation Plan (&gt;4)</t>
  </si>
  <si>
    <t>Additional Well Installation Report (1-4)</t>
  </si>
  <si>
    <t>Additional Well Installation Report (&gt;4)</t>
  </si>
  <si>
    <t>sample public well</t>
  </si>
  <si>
    <t>samle private well</t>
  </si>
  <si>
    <t>sample stream</t>
  </si>
  <si>
    <t>/covenant</t>
  </si>
  <si>
    <t>Oversight</t>
  </si>
  <si>
    <t>Senior Review</t>
  </si>
  <si>
    <t>Prepare Covenant</t>
  </si>
  <si>
    <t xml:space="preserve">Copy, sort, mail documents, </t>
  </si>
  <si>
    <t>CP</t>
  </si>
  <si>
    <t>PR</t>
  </si>
  <si>
    <t>Payment Request</t>
  </si>
  <si>
    <t>Total of This Payment Request:</t>
  </si>
  <si>
    <t>I.1 Payment Request Information:</t>
  </si>
  <si>
    <t>Payment Request Number:</t>
  </si>
  <si>
    <t>Date of Payment Request (mm/dd/yy):</t>
  </si>
  <si>
    <t>Indicate below the activities for which the Payment Request is submitted:</t>
  </si>
  <si>
    <t>Project Contact phone #</t>
  </si>
  <si>
    <t>I.5 Designation of Payment:</t>
  </si>
  <si>
    <t>Name of Person or Firm to whom Payment is to be made:</t>
  </si>
  <si>
    <t>Address:</t>
  </si>
  <si>
    <t>Porous Drilling with Development</t>
  </si>
  <si>
    <t xml:space="preserve">Specific Capacity Report </t>
  </si>
  <si>
    <t>DPVE Pilot Test Report</t>
  </si>
  <si>
    <t>sub contractors, prepare payment request, cost proposal</t>
  </si>
  <si>
    <t>Maps and figures as needed</t>
  </si>
  <si>
    <t>prepare payment request, and cost proposal</t>
  </si>
  <si>
    <t xml:space="preserve">AS/SVE or Ozone Pilot Test Plan </t>
  </si>
  <si>
    <t>AS/SVE or Ozone Pilot Test Report</t>
  </si>
  <si>
    <t>ISCO/ Bio-Remediation Pilot Test Report</t>
  </si>
  <si>
    <t>Prepare any figures, maps as necessary</t>
  </si>
  <si>
    <t>Copy, sort, mail document</t>
  </si>
  <si>
    <t>Copy, sort, mail documents</t>
  </si>
  <si>
    <t>Schedule internal personnel, gather quotes, landfill contact</t>
  </si>
  <si>
    <t>Investigation Derived Waste Report (Stand alone)</t>
  </si>
  <si>
    <t>develop plan</t>
  </si>
  <si>
    <t>Alternate Water Supply Report (connect to public water)</t>
  </si>
  <si>
    <t>water system contact, contact plumber</t>
  </si>
  <si>
    <t>appropriate map or figure</t>
  </si>
  <si>
    <t xml:space="preserve">Schedule internal personnel, water system contact, </t>
  </si>
  <si>
    <t>prepare CP/PR, subcontractor contact</t>
  </si>
  <si>
    <t>Copies, sort, mail documents,</t>
  </si>
  <si>
    <t>site map</t>
  </si>
  <si>
    <t>Copies, sort, mail documents</t>
  </si>
  <si>
    <t>appropriate map/figure</t>
  </si>
  <si>
    <t>Profile handling</t>
  </si>
  <si>
    <t>Adjacent Property Ownership Information (up to 12 parcels)(additional effort)</t>
  </si>
  <si>
    <t>create and label map/table, etc.</t>
  </si>
  <si>
    <t>Municipal Sewer Application Process (ADEM or otherwise)</t>
  </si>
  <si>
    <t>Contact local municipalities,</t>
  </si>
  <si>
    <t>Generator (5K)</t>
  </si>
  <si>
    <t>Concrete Saw</t>
  </si>
  <si>
    <t>1. I certify that all costs incurred under this payment request have been paid to the contractor.</t>
  </si>
  <si>
    <t>Date</t>
  </si>
  <si>
    <t>/drum</t>
  </si>
  <si>
    <t>Equipment Operator</t>
  </si>
  <si>
    <t>/Hr</t>
  </si>
  <si>
    <t>/loaded mile</t>
  </si>
  <si>
    <t>Sawcutting concrete</t>
  </si>
  <si>
    <t>/ft</t>
  </si>
  <si>
    <t>/daily</t>
  </si>
  <si>
    <t>Backfill (driver and transport)</t>
  </si>
  <si>
    <t>Disposal transport (includes driver)</t>
  </si>
  <si>
    <t>Daily</t>
  </si>
  <si>
    <t>Weekly</t>
  </si>
  <si>
    <t>Backhoe</t>
  </si>
  <si>
    <t>Trackhoe</t>
  </si>
  <si>
    <t>/ton</t>
  </si>
  <si>
    <t>/yard</t>
  </si>
  <si>
    <t>CP approved amount</t>
  </si>
  <si>
    <t>Water Disposal</t>
  </si>
  <si>
    <t>/gallon</t>
  </si>
  <si>
    <t>Crane</t>
  </si>
  <si>
    <t>Each quoted item should have the appropriate detail amount listed below</t>
  </si>
  <si>
    <t>MW/RW Abandonment remove top of casing</t>
  </si>
  <si>
    <t>Proposed</t>
  </si>
  <si>
    <t>Adjusted</t>
  </si>
  <si>
    <t>Approved</t>
  </si>
  <si>
    <t>For ADEM Use Only</t>
  </si>
  <si>
    <t>Approve for Payment</t>
  </si>
  <si>
    <t>I,</t>
  </si>
  <si>
    <t>ADEM Director</t>
  </si>
  <si>
    <t>due and payable.</t>
  </si>
  <si>
    <t>certify that all costs incurred under this payment are</t>
  </si>
  <si>
    <t>ARBCA Evaluation with Decay (stand alone evaluation)</t>
  </si>
  <si>
    <t>ARBCA Evaluation with Decay</t>
  </si>
  <si>
    <t>Unit Rate Decay Stand Alone</t>
  </si>
  <si>
    <t>ARBCA with Decay (stand alone after original ARBCA has been completed)</t>
  </si>
  <si>
    <t>Data Input, Prepare Evaluation with Decay forms</t>
  </si>
  <si>
    <t>Check to owner</t>
  </si>
  <si>
    <t>Check to Contractor</t>
  </si>
  <si>
    <t>ADEM Solid Waste Profile</t>
    <phoneticPr fontId="4" type="noConversion"/>
  </si>
  <si>
    <t>4" Monitoring Well (HAS) per foot</t>
  </si>
  <si>
    <t>CAP Development- (Class 2) - Ozone/SVE, AS/SVE</t>
  </si>
  <si>
    <t>Soil Boring (HAS) per foot</t>
  </si>
  <si>
    <t>Permit Application</t>
  </si>
  <si>
    <t>Drilling</t>
  </si>
  <si>
    <t>UIC Permit</t>
  </si>
  <si>
    <t>Unit $</t>
  </si>
  <si>
    <t xml:space="preserve">Hire Subcontractors (Drillers, Lab,  Waste Management), </t>
  </si>
  <si>
    <t>schedule internal payment request</t>
  </si>
  <si>
    <t>Engineer</t>
  </si>
  <si>
    <t>Unit Rate adder per well over twelve no PAH</t>
  </si>
  <si>
    <t>Injection Events</t>
  </si>
  <si>
    <t>Power Costs</t>
  </si>
  <si>
    <t>Rentals</t>
  </si>
  <si>
    <t>Unit Rate Free Product Recovery/MEME Plan</t>
    <phoneticPr fontId="4" type="noConversion"/>
  </si>
  <si>
    <t xml:space="preserve">CAP Development - RNA </t>
    <phoneticPr fontId="4" type="noConversion"/>
  </si>
  <si>
    <t>FPR Report-MEME/adder for MEME to GWM/NAMR</t>
    <phoneticPr fontId="4" type="noConversion"/>
  </si>
  <si>
    <t>Grain Size Analysis</t>
    <phoneticPr fontId="4" type="noConversion"/>
  </si>
  <si>
    <t>55-Gallon Drums</t>
  </si>
  <si>
    <t>/samples</t>
  </si>
  <si>
    <t>method</t>
  </si>
  <si>
    <t>BTEX/MTBE/Naph (water)</t>
  </si>
  <si>
    <t>BTEX/MTBE/Naph (soil)</t>
  </si>
  <si>
    <t>PAH (water)</t>
  </si>
  <si>
    <t>PAH (soil)</t>
  </si>
  <si>
    <t>Lead (water)</t>
  </si>
  <si>
    <t>Lead (soil)</t>
  </si>
  <si>
    <t>waterbtex</t>
  </si>
  <si>
    <t>soilbtex</t>
  </si>
  <si>
    <t>PAHsoil</t>
  </si>
  <si>
    <t>PAHwater</t>
  </si>
  <si>
    <t>leadwater</t>
  </si>
  <si>
    <t>TPHsoil</t>
  </si>
  <si>
    <t>Shelby Tubes</t>
  </si>
  <si>
    <t>Corrective Action System Install</t>
  </si>
  <si>
    <t>Mob/Demob</t>
  </si>
  <si>
    <t>2" Monitoring Well (HAS) per foot</t>
  </si>
  <si>
    <t>Bedrock 0-20' core</t>
  </si>
  <si>
    <t>Bedrock 0-40' core</t>
  </si>
  <si>
    <t>Bedrock 0-60' core</t>
  </si>
  <si>
    <t>Bedrock 0-80' core</t>
  </si>
  <si>
    <t>Soil Boring</t>
  </si>
  <si>
    <t>Bedrock 0-20' Air Rotary Drilling</t>
  </si>
  <si>
    <t>Bedrock 0-20' Core Drilling</t>
  </si>
  <si>
    <t>Bedrock 0-40' Air Rotary Drilling</t>
  </si>
  <si>
    <t>Bedrock 0-40' Core Drilling</t>
  </si>
  <si>
    <t>Bedrock 0-60' Air Rotary Drilling</t>
  </si>
  <si>
    <t>Bedrock 0-80' Air Rotary Drilling</t>
  </si>
  <si>
    <t>Bedrock 0-60' Core Drilling</t>
  </si>
  <si>
    <t>Bedrock 0-80' Core Drilling</t>
  </si>
  <si>
    <t>Outer Casing for Type III Well 0-40'</t>
  </si>
  <si>
    <t>Outer Casing for Type III Well 0-60'</t>
  </si>
  <si>
    <t>Outer Casing for Type III Well 0-80'</t>
  </si>
  <si>
    <t>Outer Casing for Type III Well 0-100'</t>
  </si>
  <si>
    <t>Groundwater Sampling and Gauging 2" Well</t>
  </si>
  <si>
    <t xml:space="preserve">Groundwater Sampling and Gauging 4" Well </t>
  </si>
  <si>
    <t xml:space="preserve">Groundwater Sampling and Gauging 6" Well </t>
  </si>
  <si>
    <t>Sample Stream (up to 3 samples)</t>
  </si>
  <si>
    <t>/stream</t>
  </si>
  <si>
    <t>FPR Report-MEME</t>
  </si>
  <si>
    <t>/5wells</t>
  </si>
  <si>
    <t>Conductivity Meter</t>
  </si>
  <si>
    <t>Digital Manometer</t>
  </si>
  <si>
    <t>Dissolved Oxygen Meter</t>
  </si>
  <si>
    <t>In-Situ Transducer</t>
  </si>
  <si>
    <t>Interface Probe/Water Level</t>
  </si>
  <si>
    <t>Ozone Meter/Sensor</t>
  </si>
  <si>
    <t>pH/Temperature Meter</t>
  </si>
  <si>
    <t>Pressure Washer</t>
  </si>
  <si>
    <t>Redox/ORP Meter</t>
  </si>
  <si>
    <t>Thermal Anemometer</t>
  </si>
  <si>
    <t>Turbidity Meter</t>
  </si>
  <si>
    <t>VOC Water Supply</t>
  </si>
  <si>
    <t>PAH Water Supply</t>
  </si>
  <si>
    <t>/quarter</t>
  </si>
  <si>
    <t>CAP Development- Corrective Action Evaluation</t>
  </si>
  <si>
    <t>CAP Development-RNA</t>
  </si>
  <si>
    <t>CAP Development-RNA with MEME</t>
  </si>
  <si>
    <t xml:space="preserve">water </t>
  </si>
  <si>
    <t>soil</t>
  </si>
  <si>
    <t>8260; 8021; 602</t>
  </si>
  <si>
    <t>TPH</t>
    <phoneticPr fontId="4" type="noConversion"/>
  </si>
  <si>
    <t>Dry Bulk Density</t>
    <phoneticPr fontId="4" type="noConversion"/>
  </si>
  <si>
    <t>Adder per Wells installed over 8</t>
  </si>
  <si>
    <t>Additional Well Installation Plan (Investigative phase up to 4 wells)</t>
  </si>
  <si>
    <t>Interpret data, prepare report</t>
  </si>
  <si>
    <t>Conference call/communication with ADEM</t>
  </si>
  <si>
    <t>Concept/minor maps</t>
  </si>
  <si>
    <t>Prepare CAP, estimate time to completion</t>
  </si>
  <si>
    <t>Schedule internal personnel, solicit/collect bids</t>
  </si>
  <si>
    <t>CAP Development-Excavation (small source or under 100 yds)</t>
  </si>
  <si>
    <t>CAP Development-Surfactant Injection INSITU-liquid Chemox/BIOX</t>
  </si>
  <si>
    <t>Schedule internal personnel, organize project details</t>
  </si>
  <si>
    <t>CAP Development-(Class 1)- DPVE, P&amp;T</t>
  </si>
  <si>
    <t>CAP Development-(Class 3) - Ozone, AS, SVE</t>
  </si>
  <si>
    <t>Moisture Content</t>
    <phoneticPr fontId="4" type="noConversion"/>
  </si>
  <si>
    <t>Nitrate</t>
    <phoneticPr fontId="4" type="noConversion"/>
  </si>
  <si>
    <t>Sulfate</t>
    <phoneticPr fontId="4" type="noConversion"/>
  </si>
  <si>
    <t>Iron</t>
    <phoneticPr fontId="4" type="noConversion"/>
  </si>
  <si>
    <t>FREE PRODUCT RECOVERY MEME REPORT</t>
  </si>
  <si>
    <t xml:space="preserve">owners/land owners (for drilling), Schedule internal personnel, </t>
  </si>
  <si>
    <t>Unit Rate Specific Capacity Plan</t>
  </si>
  <si>
    <t>Unit Rate Specific Capacity Report</t>
  </si>
  <si>
    <t>Unit Rate Aquifer Pilot Test Plan</t>
  </si>
  <si>
    <t>Unit Rate Aquifer Pilot Test Report</t>
  </si>
  <si>
    <t>Scenarios</t>
  </si>
  <si>
    <t>Postage Class I</t>
  </si>
  <si>
    <t>Postage Class II</t>
  </si>
  <si>
    <t>CAP Development - Surfactant Injection</t>
  </si>
  <si>
    <t>Monitoring Well Abandonment Plan</t>
  </si>
  <si>
    <t>Monitoring Well Abandonment Report</t>
  </si>
  <si>
    <t>Abandonment of RW vault</t>
  </si>
  <si>
    <t>Contact offsite property owners for drilling, Payment Request</t>
  </si>
  <si>
    <t xml:space="preserve">Prepare Maps, figures, to include well diagrams, site maps, </t>
  </si>
  <si>
    <t>Cost Proposal/Payment Request Preparation</t>
  </si>
  <si>
    <t>Contact MEME vendor.</t>
  </si>
  <si>
    <t>Unit Rate CAP Evaluation</t>
  </si>
  <si>
    <t>Metal Detector</t>
  </si>
  <si>
    <t>Item Name</t>
  </si>
  <si>
    <t>Rate ($)/day</t>
  </si>
  <si>
    <t>Specific Capacity Test</t>
  </si>
  <si>
    <t># days</t>
  </si>
  <si>
    <t>Total</t>
  </si>
  <si>
    <t>Air Compressor</t>
  </si>
  <si>
    <t>Combustible Gas Indicator/PID/FID</t>
  </si>
  <si>
    <t>Unit Rate IDW Plan</t>
  </si>
  <si>
    <t>Grain Size Analysis</t>
  </si>
  <si>
    <t>Moisture Content</t>
  </si>
  <si>
    <t>Dry Bulk Density</t>
  </si>
  <si>
    <t>Nitrate</t>
  </si>
  <si>
    <t>Sulfate</t>
  </si>
  <si>
    <t>Iron</t>
  </si>
  <si>
    <t>Analytical with Methods</t>
  </si>
  <si>
    <t>Oil &amp; Grease</t>
  </si>
  <si>
    <t>Air Samples</t>
  </si>
  <si>
    <t>Mileage</t>
  </si>
  <si>
    <t>Staff Geologist/Engineer:</t>
  </si>
  <si>
    <t>Secondary Report (up to 12 wells)</t>
  </si>
  <si>
    <t>Unit Rate IDW Report</t>
  </si>
  <si>
    <t>Unit Rate CAIPR Class II/III subsequent reports w/PAH</t>
  </si>
  <si>
    <t>Unit Rate MW Abandonment Plan</t>
  </si>
  <si>
    <t>MW Abandonment Report</t>
  </si>
  <si>
    <t>Unit Rate MW Abandonment Report</t>
  </si>
  <si>
    <t>System Decommissioning Plan</t>
  </si>
  <si>
    <t>Unit Rate Alternate Water Supply Plan</t>
  </si>
  <si>
    <t>Unit Rate Alternate Water Supply Report</t>
  </si>
  <si>
    <t>UIC Permit Application Preparation</t>
  </si>
  <si>
    <t xml:space="preserve">Slug Tests </t>
  </si>
  <si>
    <t>PE/PG</t>
  </si>
  <si>
    <t>Staff Geologist/Engineer</t>
  </si>
  <si>
    <t>Unit Rate CAP (Class II)</t>
    <phoneticPr fontId="7" type="noConversion"/>
  </si>
  <si>
    <t>Unit Rate CAP (Class III)</t>
    <phoneticPr fontId="7" type="noConversion"/>
  </si>
  <si>
    <t>/plan</t>
  </si>
  <si>
    <t>/property</t>
  </si>
  <si>
    <t>/site</t>
  </si>
  <si>
    <t xml:space="preserve">Well Installation Oversight time </t>
  </si>
  <si>
    <t>prepare payment request,</t>
  </si>
  <si>
    <t xml:space="preserve">Data Input, </t>
  </si>
  <si>
    <t xml:space="preserve">Prepare appropriate Maps/figures, site maps, </t>
  </si>
  <si>
    <t>Units</t>
  </si>
  <si>
    <t>CA System Installation Rpt (all Classes same)</t>
  </si>
  <si>
    <t>NAMR/GWM-first report</t>
  </si>
  <si>
    <t>Unit Rate Initial Abatement Report</t>
  </si>
  <si>
    <t>PG/PE</t>
  </si>
  <si>
    <t>Project Manager</t>
  </si>
  <si>
    <t>Clerical</t>
  </si>
  <si>
    <t>Review and Sign Report</t>
  </si>
  <si>
    <t>response company, contact EMA/Fire), Contact Property</t>
  </si>
  <si>
    <t>Unit Rate CAP Injection Report</t>
  </si>
  <si>
    <t>Unit Rate CAP Installation Report</t>
  </si>
  <si>
    <t>Unit Rate CAIPR Class I subsequent reports</t>
  </si>
  <si>
    <t>Bedrock Drilling</t>
  </si>
  <si>
    <t>Copy, sort, mail documents,cost proposal/ payment request</t>
  </si>
  <si>
    <t>cost proposal/prepare payment request,</t>
  </si>
  <si>
    <t>associated map/diagram</t>
  </si>
  <si>
    <t>utility companies, etc., CP/PR,</t>
  </si>
  <si>
    <t>cancel permits</t>
  </si>
  <si>
    <t>Map/Diagram</t>
  </si>
  <si>
    <t>Map/Diagram/Photo</t>
  </si>
  <si>
    <t>Unit Rate Environmental Covenant</t>
  </si>
  <si>
    <t>Prepare Cost Proposal, prepare payment request,</t>
  </si>
  <si>
    <t>Unit Rate CAIPR Class II/III subsequent reports</t>
  </si>
  <si>
    <t>Unit Rate CAIPR Class I subsequent reports w/PAH</t>
  </si>
  <si>
    <t>Unit Rate CAP Development Site Visit</t>
  </si>
  <si>
    <t>Skid steer</t>
  </si>
  <si>
    <t>NAMR/Groundwater Monitoring Report (1-12 wells BTEX / MTBE / Naphthalene)</t>
  </si>
  <si>
    <t>/day</t>
  </si>
  <si>
    <t>Gauging Well (no sampling)</t>
  </si>
  <si>
    <t>concentration maps, flow maps, etc.</t>
  </si>
  <si>
    <t>Technician</t>
  </si>
  <si>
    <t>Geologist</t>
  </si>
  <si>
    <t>Offsite Secondary Plan oversight</t>
  </si>
  <si>
    <t>Unit Rate Secondary Report</t>
  </si>
  <si>
    <t>System Purchase letter</t>
  </si>
  <si>
    <t>Alt Water Supply Plan</t>
  </si>
  <si>
    <t>Adder amount for every working day over 2 days</t>
  </si>
  <si>
    <t>Adder per Wells over 12</t>
  </si>
  <si>
    <t>1-12 wells, BTEX/MTBE+PAH</t>
  </si>
  <si>
    <t>Alt Water Supply Report</t>
  </si>
  <si>
    <t>UIC Permit Application Prep</t>
  </si>
  <si>
    <t>General NPDES app prep</t>
  </si>
  <si>
    <t>Summary of ATTF Field Scenarios</t>
  </si>
  <si>
    <t>Unit Rate System Decommissioning Plan</t>
  </si>
  <si>
    <t>System Decommissioning Report</t>
  </si>
  <si>
    <t>Unit Rate System Decommissioning Report</t>
  </si>
  <si>
    <t>/vault</t>
  </si>
  <si>
    <t>/report</t>
  </si>
  <si>
    <t>/evaluation</t>
  </si>
  <si>
    <t>Analytical Samples</t>
  </si>
  <si>
    <t>BTEX/MTBE/Naph</t>
  </si>
  <si>
    <t>PAH</t>
  </si>
  <si>
    <t>CAP Implementation rpt - Excavation</t>
  </si>
  <si>
    <t>CAP Implementation rpt - Injections</t>
  </si>
  <si>
    <t>Unit Rate CAP RNA</t>
    <phoneticPr fontId="7" type="noConversion"/>
  </si>
  <si>
    <t>Unit Rate CAP RNA with MEME</t>
    <phoneticPr fontId="7" type="noConversion"/>
  </si>
  <si>
    <t>Unit Rate CAP Excavation</t>
    <phoneticPr fontId="7" type="noConversion"/>
  </si>
  <si>
    <t>Unit Rate Surfactant Injection</t>
    <phoneticPr fontId="7" type="noConversion"/>
  </si>
  <si>
    <t>Unit Rate CAP (Class I)</t>
    <phoneticPr fontId="7" type="noConversion"/>
  </si>
  <si>
    <t>Disposable Bailers</t>
  </si>
  <si>
    <t>Unit Rate Preliminary Report</t>
  </si>
  <si>
    <t>Unit Rate Secondary Investigation Plan</t>
  </si>
  <si>
    <t>Prepare Maps and figures for Secondary Investigation</t>
  </si>
  <si>
    <t>Quantity</t>
  </si>
  <si>
    <t>1-2 days in field</t>
  </si>
  <si>
    <t>/job</t>
  </si>
  <si>
    <t>ARBCA Report Tier 1</t>
  </si>
  <si>
    <t>ARBCA Report Tier II</t>
  </si>
  <si>
    <t>/well</t>
  </si>
  <si>
    <t>Copy, sort, mail documents, Cost Proposal prep</t>
  </si>
  <si>
    <t>Prepare Secondary Plan</t>
  </si>
  <si>
    <t>Well Installation Oversight time (Geologist and Tech)</t>
  </si>
  <si>
    <t>Well Development</t>
  </si>
  <si>
    <t xml:space="preserve">Hire Subcontractors (Drillers, Waste Management, emergency </t>
  </si>
  <si>
    <t>Review/Sign Report</t>
  </si>
  <si>
    <t>Copy, sort, bind, mail documents, payment request</t>
  </si>
  <si>
    <t>Draftsman</t>
  </si>
  <si>
    <t>Secondary Investigation Plan</t>
  </si>
  <si>
    <t>Design emergency response.</t>
  </si>
  <si>
    <t>Interpret data, prepare report.</t>
  </si>
  <si>
    <t>Copy, sort, mail documents, payment request</t>
  </si>
  <si>
    <t xml:space="preserve">Interpret data, prepare report, </t>
  </si>
  <si>
    <t>Obtain Adjacent Property Owner Info</t>
  </si>
  <si>
    <t>Review and Sign Report,</t>
  </si>
  <si>
    <t xml:space="preserve">Prepare maps, figures, to include well boring logs and diagrams, site maps, </t>
  </si>
  <si>
    <t>Project Manager:</t>
  </si>
  <si>
    <t>PE/PG:</t>
  </si>
  <si>
    <t>Staff Geologist:</t>
  </si>
  <si>
    <t>Draftsman:</t>
  </si>
  <si>
    <t>Clerical:</t>
  </si>
  <si>
    <t xml:space="preserve">Hire Subcontractors (Drillers, Waste Management), Contact Property </t>
  </si>
  <si>
    <t>SEMR Qtrly Ozone, AS, SVE, Chemox, Biosparge - Rpts</t>
  </si>
  <si>
    <t>Preliminary Investigation Rpt</t>
  </si>
  <si>
    <t>Off-site access - ALDOT</t>
  </si>
  <si>
    <t>Secondary Plan (on and offsite)</t>
  </si>
  <si>
    <t xml:space="preserve">Contact ADEM Air Division, Schedule internal personnel, </t>
  </si>
  <si>
    <t>Copy, sort, mail documents, cost proposal/payment request</t>
  </si>
  <si>
    <t>Hire Subcontractors (MEME Vender), Waste Disposal</t>
  </si>
  <si>
    <t>Prepare Free Product Maps</t>
  </si>
  <si>
    <t>Review/Sign Plan and Report</t>
  </si>
  <si>
    <t xml:space="preserve">Prepare Maps/figures, site maps, </t>
  </si>
  <si>
    <t xml:space="preserve">Adder per well over twelve: </t>
  </si>
  <si>
    <t>NAMR/Groundwater Monitoring Report (1-12 wells BTEX / MTBE +PAH)</t>
  </si>
  <si>
    <t>SEMR adder &gt;12 wells, BTEX/MTBE+PAH</t>
  </si>
  <si>
    <t xml:space="preserve">Off-site access - Commercial </t>
  </si>
  <si>
    <t>Schedule internal personnel, contractors, landfill,</t>
  </si>
  <si>
    <t>handle manifest, prepare payment request,</t>
  </si>
  <si>
    <t>drillers, prepare payment request,</t>
  </si>
  <si>
    <t xml:space="preserve">Schedule internal personnel, contractors, vendors, </t>
  </si>
  <si>
    <t>Schedule internal personnel, obtain access</t>
  </si>
  <si>
    <t>Schedule internal personnel, solicit quotes</t>
  </si>
  <si>
    <t>Schedule internal personnel, subcontractors</t>
  </si>
  <si>
    <r>
      <t xml:space="preserve">Postage / Shipping  </t>
    </r>
    <r>
      <rPr>
        <sz val="8"/>
        <rFont val="Arial"/>
        <family val="2"/>
      </rPr>
      <t>(documentation required)</t>
    </r>
  </si>
  <si>
    <t>System Installation Oversight (up to 7 days in field)</t>
  </si>
  <si>
    <t>System Startup</t>
  </si>
  <si>
    <t>/system</t>
  </si>
  <si>
    <t>System Startup Oversight</t>
  </si>
  <si>
    <t>System Installation Oversight Adder (per day over 7 doc req.)</t>
  </si>
  <si>
    <t>System Install Oversight 7 days</t>
  </si>
  <si>
    <t>System Install Oversigth Adder</t>
  </si>
  <si>
    <t>System Start up</t>
  </si>
  <si>
    <t>/profile</t>
  </si>
  <si>
    <t>ADEM SID Prep</t>
  </si>
  <si>
    <t>System Installation Oversight (up to 7 days)</t>
  </si>
  <si>
    <t>Schedule internal personnel, vendor quotes</t>
  </si>
  <si>
    <t>System Purchase/ Install</t>
  </si>
  <si>
    <t>Other than System Purchase/ Install</t>
  </si>
  <si>
    <t>MW/RW abandonment (per well) overdrill</t>
  </si>
  <si>
    <t>MW/RW abandonment (per well) grout</t>
  </si>
  <si>
    <t>Schedule internal personnel and</t>
  </si>
  <si>
    <t>Roll Off Dumpster (includes hauling/handling)</t>
  </si>
  <si>
    <t>GW monitoring plan</t>
  </si>
  <si>
    <t>FPR Plan -All free product recovery</t>
  </si>
  <si>
    <t>Unit Rate GW Monitoring Plan</t>
  </si>
  <si>
    <t>Review/Sign Plan</t>
  </si>
  <si>
    <t>Review Secondary Plan for technical issues, adjust as necessary, Sign Plan</t>
  </si>
  <si>
    <t>Total Project oversight, Cost Proposal prep</t>
  </si>
  <si>
    <t>ship/mail documents to the ADEM</t>
  </si>
  <si>
    <t>Unit Rate Adjacent Property Ownership Information</t>
  </si>
  <si>
    <t>adder for &gt;12 wells per well, BTEX/MTBE+PAH</t>
    <phoneticPr fontId="4" type="noConversion"/>
  </si>
  <si>
    <t>Adder Tier II with Decay:</t>
    <phoneticPr fontId="7" type="noConversion"/>
  </si>
  <si>
    <t>Unit Rate adder Tier II WITH DECAY</t>
    <phoneticPr fontId="7" type="noConversion"/>
  </si>
  <si>
    <t>adder for Tier II WITH DECAY</t>
    <phoneticPr fontId="4" type="noConversion"/>
  </si>
  <si>
    <t>NAMR/GWM adder &gt;12 wells, BTEX/MTBE/Naphthalene</t>
    <phoneticPr fontId="4" type="noConversion"/>
  </si>
  <si>
    <t>Review and Sign Plan</t>
    <phoneticPr fontId="4" type="noConversion"/>
  </si>
  <si>
    <t>Review and Sign Plan</t>
    <phoneticPr fontId="4" type="noConversion"/>
  </si>
  <si>
    <t>Unit Rate Free Product Recovery Report</t>
    <phoneticPr fontId="4" type="noConversion"/>
  </si>
  <si>
    <t>Unit Rate Free Product Removal MEME Report</t>
    <phoneticPr fontId="4" type="noConversion"/>
  </si>
  <si>
    <t>SVE Pilot Test</t>
  </si>
  <si>
    <t>CAP Development Site Visit</t>
  </si>
  <si>
    <t>Phone Costs (telemetry)</t>
  </si>
  <si>
    <t>Sub Contractors/ Vendors/ Utilities</t>
  </si>
  <si>
    <t>DPVE Pump and Treat O&amp;M 3 months</t>
  </si>
  <si>
    <t>Ozone, biosparge, sve, biovent and Air Sparge O&amp;M 3 months</t>
  </si>
  <si>
    <t>Initial Site Survey during Investigation (not Licensed)</t>
  </si>
  <si>
    <t>Private/Public Water Well Inventory (up to 5 wells)</t>
  </si>
  <si>
    <t>1-12 wells, BTEX/MTBE+PAH</t>
    <phoneticPr fontId="4" type="noConversion"/>
  </si>
  <si>
    <t>1-12 wells, BTEX/MTBE/Naphthalene</t>
    <phoneticPr fontId="4" type="noConversion"/>
  </si>
  <si>
    <t xml:space="preserve">Contact Property/Tank owners, schedule internal personnel, </t>
  </si>
  <si>
    <t>SEMR Qtrly DPVE, P&amp;T Reports</t>
  </si>
  <si>
    <t>Develop Plan, prepare Plan</t>
    <phoneticPr fontId="4" type="noConversion"/>
  </si>
  <si>
    <t>Prepare appropriate Maps and figures</t>
    <phoneticPr fontId="4" type="noConversion"/>
  </si>
  <si>
    <t>NAMR/GWM adder &gt;12 wells, BTEX/MTBE + PAH</t>
  </si>
  <si>
    <t>1-12 wells, BTEX/MTBE/Naphthalene</t>
  </si>
  <si>
    <t>SEMR adder &gt;12 wells, BTEX/MTBE/Naph</t>
  </si>
  <si>
    <t>Specific Capacity</t>
  </si>
  <si>
    <t>prepare payment request,</t>
    <phoneticPr fontId="7" type="noConversion"/>
  </si>
  <si>
    <t>Review/Sign Report</t>
    <phoneticPr fontId="7" type="noConversion"/>
  </si>
  <si>
    <t xml:space="preserve">Prepare appropriate Maps/figures, site maps, </t>
    <phoneticPr fontId="7" type="noConversion"/>
  </si>
  <si>
    <t>Slug Test</t>
  </si>
  <si>
    <t>Pumping Test</t>
  </si>
  <si>
    <t>Groundwater Monitoring</t>
  </si>
  <si>
    <t>DPVE Pilot Test</t>
  </si>
  <si>
    <t>MEME Event</t>
  </si>
  <si>
    <t>DPVE , SVE, AS, P&amp;T O&amp;M</t>
  </si>
  <si>
    <t>Free Product Bailing</t>
  </si>
  <si>
    <t>IDW/Treatment Disposal Plan</t>
  </si>
  <si>
    <t>IDW/Treatment Disposal Rpt</t>
  </si>
  <si>
    <t xml:space="preserve">CAP Development - RNA with MEME </t>
  </si>
  <si>
    <t>CAP Development - Excavation</t>
  </si>
  <si>
    <t>55 Gallon Drums</t>
  </si>
  <si>
    <t>Groundwater Sampling 2" Well &amp; Bailer</t>
  </si>
  <si>
    <t>Groundwater Sampling 4" Well &amp; Bailer</t>
  </si>
  <si>
    <t>Cost proposal/payment request</t>
  </si>
  <si>
    <t>Evaluate Corrective Action Options, compile data, history</t>
  </si>
  <si>
    <t>Review/Sign Plan, assist prepare plan, clean up time calculation</t>
  </si>
  <si>
    <t>Schedule internal personnel, communications with utilities/</t>
  </si>
  <si>
    <t>municipalities, prepare payment request, notify air division</t>
  </si>
  <si>
    <t>Prepare Plan, assist in preparing plan</t>
  </si>
  <si>
    <t>Schedule internal personnel, assist in preparing plan</t>
  </si>
  <si>
    <t>Review/Sign Plan, assist in plan prep</t>
  </si>
  <si>
    <t>prepare payment request, assist in plan prep</t>
  </si>
  <si>
    <r>
      <t>Postage Special Circumstance</t>
    </r>
    <r>
      <rPr>
        <sz val="10"/>
        <rFont val="Arial"/>
        <family val="2"/>
      </rPr>
      <t>-documentation to be supplied</t>
    </r>
  </si>
  <si>
    <r>
      <t>Postage/Shipping class II-</t>
    </r>
    <r>
      <rPr>
        <sz val="10"/>
        <rFont val="Arial"/>
        <family val="2"/>
      </rPr>
      <t xml:space="preserve"> samples shipped to the lab soil or water per shipment</t>
    </r>
  </si>
  <si>
    <r>
      <t>Postage/Shipping class I</t>
    </r>
    <r>
      <rPr>
        <sz val="10"/>
        <rFont val="Arial"/>
        <family val="2"/>
      </rPr>
      <t>-All Plans and Reports to Owners and the A.D.E.M</t>
    </r>
  </si>
  <si>
    <t>CAP Implementation- Excavation Report (Small source or under 100yds)</t>
  </si>
  <si>
    <t>Unit Rate CAP Excavation Report (small source)</t>
  </si>
  <si>
    <t>Produce injection report from field data</t>
  </si>
  <si>
    <t>CAP Implementation-Liquid Injection Report</t>
  </si>
  <si>
    <t>Purchase system, solicit bids for systems</t>
  </si>
  <si>
    <t>Copy, sort, mail documents, cp/pr</t>
  </si>
  <si>
    <t>CAP Implementation-Installation/Start Up Report</t>
  </si>
  <si>
    <t xml:space="preserve">Prepare appropriate Maps/figures (site layout), site maps, </t>
  </si>
  <si>
    <t>prepare payment request, cost proposal</t>
  </si>
  <si>
    <t>Copy, sort, mail documents, PR/CP</t>
  </si>
  <si>
    <t>Pump-Peristaltic or Purging (inc. tubing)</t>
  </si>
  <si>
    <t>Copy, sort, mail documents, CP/PR</t>
  </si>
  <si>
    <t>Groundwater Sampling 6" Well &amp; Bailer</t>
  </si>
  <si>
    <t xml:space="preserve">Initial Abatement Report </t>
  </si>
  <si>
    <t>Unit Rate adder per well over twelve no PAH</t>
    <phoneticPr fontId="4" type="noConversion"/>
  </si>
  <si>
    <t>Adder per well over twelve:</t>
  </si>
  <si>
    <t>Unit Rate adder per well over twelve PAH</t>
    <phoneticPr fontId="7" type="noConversion"/>
  </si>
  <si>
    <t>adder for &gt;12 wells per well, BTEX/MTBE/Naph</t>
    <phoneticPr fontId="4" type="noConversion"/>
  </si>
  <si>
    <t>Temp Wells</t>
  </si>
  <si>
    <t>Direct Push Technologies</t>
  </si>
  <si>
    <t>ADEM Solid Waste Profile</t>
  </si>
  <si>
    <t>Postage</t>
  </si>
  <si>
    <t>Specific Capacity Test Plan</t>
  </si>
  <si>
    <t>Specific Capacity Test Report</t>
  </si>
  <si>
    <r>
      <t>CAP Development (Class 2)</t>
    </r>
    <r>
      <rPr>
        <sz val="8"/>
        <rFont val="Arial"/>
        <family val="2"/>
      </rPr>
      <t xml:space="preserve"> - Ozone/SVE, AS/SVE, liquid Chemox/Biox</t>
    </r>
  </si>
  <si>
    <r>
      <t>CAP Development (Class 1</t>
    </r>
    <r>
      <rPr>
        <sz val="8"/>
        <rFont val="Arial"/>
        <family val="2"/>
      </rPr>
      <t>)- DPVE, P&amp;T, SVE</t>
    </r>
  </si>
  <si>
    <r>
      <t xml:space="preserve">CAP Development - CA evaluation </t>
    </r>
    <r>
      <rPr>
        <sz val="8"/>
        <rFont val="Arial"/>
        <family val="2"/>
      </rPr>
      <t>(once per site)</t>
    </r>
  </si>
  <si>
    <r>
      <t xml:space="preserve">CAP Development (Class 3) </t>
    </r>
    <r>
      <rPr>
        <sz val="8"/>
        <rFont val="Arial"/>
        <family val="2"/>
      </rPr>
      <t>- Ozone, AS, SVE</t>
    </r>
  </si>
  <si>
    <t>NPDES General Permit</t>
  </si>
  <si>
    <t>Prepare permit</t>
  </si>
  <si>
    <t>Prepare Permit</t>
  </si>
  <si>
    <t>Prepare Report</t>
  </si>
  <si>
    <t>Review and sign Permit</t>
  </si>
  <si>
    <t xml:space="preserve">Review/sign Permit </t>
  </si>
  <si>
    <t xml:space="preserve">Prepare Report </t>
  </si>
  <si>
    <t>Prepare Plan</t>
  </si>
  <si>
    <t>Prepare any figures as necessary</t>
  </si>
  <si>
    <t>Review/Sign Plan, Plan input</t>
  </si>
  <si>
    <t>CA System Purchase Letter</t>
  </si>
  <si>
    <t>Unit Rate CA System Purchase Letter</t>
  </si>
  <si>
    <t>Options</t>
  </si>
  <si>
    <t xml:space="preserve">Review/Sign Plan, discuss and evaluate Corrective Action </t>
  </si>
  <si>
    <t xml:space="preserve">Prepare Plan </t>
  </si>
  <si>
    <t>Visit Site for specific placement details</t>
  </si>
  <si>
    <t xml:space="preserve">Data Input, Prepare Evaluation </t>
  </si>
  <si>
    <t>Geologist/Engineer</t>
  </si>
  <si>
    <t>Propane Costs</t>
  </si>
  <si>
    <r>
      <t xml:space="preserve">Postage / Shipping and Copying </t>
    </r>
    <r>
      <rPr>
        <sz val="8"/>
        <rFont val="Arial"/>
        <family val="2"/>
      </rPr>
      <t>(plans reports, ADEM and owner)</t>
    </r>
  </si>
  <si>
    <r>
      <t xml:space="preserve">Postage / Shipping </t>
    </r>
    <r>
      <rPr>
        <sz val="8"/>
        <rFont val="Arial"/>
        <family val="2"/>
      </rPr>
      <t>(Sample Shipping)</t>
    </r>
  </si>
  <si>
    <t>/sow</t>
  </si>
  <si>
    <t>/sample</t>
  </si>
  <si>
    <t>Prepare Profile</t>
  </si>
  <si>
    <t>/cap</t>
  </si>
  <si>
    <t>FPR Report -all free product reports (except MEME)</t>
  </si>
  <si>
    <t>Pass Through Amount</t>
  </si>
  <si>
    <t>Corrective Action System Decommissioning</t>
  </si>
  <si>
    <t>Travel</t>
  </si>
  <si>
    <t>includes any and all associated expenses and shipping options</t>
  </si>
  <si>
    <t>includes any and all office expenses, copies, CD's and changes</t>
  </si>
  <si>
    <t>Total Drilling Costs</t>
  </si>
  <si>
    <t>Total Subs / Vendors / Utilities</t>
  </si>
  <si>
    <t>Sewer Disposal Costs</t>
  </si>
  <si>
    <t>Alabama Tank Trust Fund</t>
  </si>
  <si>
    <t>Cost Proposal</t>
  </si>
  <si>
    <t>Part I</t>
  </si>
  <si>
    <t>I.1 Cost Proposal Information:</t>
  </si>
  <si>
    <t>Cost Proposal Number:</t>
  </si>
  <si>
    <t>Date of Cost Proposal (mm/dd/yy):</t>
  </si>
  <si>
    <t>UST or AST Incident Number:</t>
  </si>
  <si>
    <t>Facility I.D. Number:</t>
  </si>
  <si>
    <t>I.2 Facility Information</t>
  </si>
  <si>
    <t>SVE/ AS/ Ozone Pilot Test</t>
  </si>
  <si>
    <r>
      <t xml:space="preserve">Other Plan /Report </t>
    </r>
    <r>
      <rPr>
        <b/>
        <u/>
        <sz val="14"/>
        <rFont val="Arial"/>
        <family val="2"/>
      </rPr>
      <t>NOT</t>
    </r>
    <r>
      <rPr>
        <b/>
        <sz val="14"/>
        <rFont val="Arial"/>
        <family val="2"/>
      </rPr>
      <t xml:space="preserve"> Listed</t>
    </r>
  </si>
  <si>
    <t>Other Plan/ Report time not already listed</t>
  </si>
  <si>
    <r>
      <t xml:space="preserve">Use this form to list hours where a Unit Rate is not available, </t>
    </r>
    <r>
      <rPr>
        <b/>
        <sz val="12"/>
        <rFont val="Arial"/>
        <family val="2"/>
      </rPr>
      <t>NOT FOR ADDING HOURS TO UNITS</t>
    </r>
  </si>
  <si>
    <t>Description of Activities</t>
  </si>
  <si>
    <t>Detailed description of activities must be entered where hours are claimed</t>
  </si>
  <si>
    <t>Facility Name:</t>
  </si>
  <si>
    <t>Facility Address:</t>
  </si>
  <si>
    <t>I.3 Owner Information:</t>
  </si>
  <si>
    <t>Owner Name:</t>
  </si>
  <si>
    <t>Owner Address:</t>
  </si>
  <si>
    <t>I.4 Response Action Contractor Information:</t>
  </si>
  <si>
    <t>Approved Response Action Contractor Name:</t>
  </si>
  <si>
    <t>Approved Response Action Contractor Address:</t>
  </si>
  <si>
    <t>Project Contact:</t>
  </si>
  <si>
    <t>Indicate below the activities for which the cost proposal is submitted:</t>
  </si>
  <si>
    <t>Preliminary Investigation</t>
  </si>
  <si>
    <t>Develop Corrective Action Plan</t>
  </si>
  <si>
    <t>Corrective Action</t>
  </si>
  <si>
    <t>Provision of Alternate Water Supply</t>
  </si>
  <si>
    <t>Provide proposed completion date for this phase of work activities:</t>
  </si>
  <si>
    <t>I.6 Subcontractor Information:</t>
  </si>
  <si>
    <t>Indicate Subcontractors to be used during this phase of work:</t>
  </si>
  <si>
    <t>Name</t>
  </si>
  <si>
    <t>Service Provided</t>
  </si>
  <si>
    <t>Typed or Printed Name and Title:</t>
  </si>
  <si>
    <t>Date:</t>
  </si>
  <si>
    <t>Estimated Total Cost of all</t>
  </si>
  <si>
    <t>Anticipated Response Actions</t>
  </si>
  <si>
    <t>(To be updated overtime):</t>
  </si>
  <si>
    <t>Total of This Cost Proposal:</t>
  </si>
  <si>
    <t>Proposal:</t>
  </si>
  <si>
    <t xml:space="preserve">Proposed Costs under this Cost </t>
  </si>
  <si>
    <t>Other</t>
  </si>
  <si>
    <t>Stockpile Sampling / Management / Disposal</t>
  </si>
  <si>
    <t>Direct Push (Geologist Daily Charge or 8 probe points)</t>
  </si>
  <si>
    <t>Groundwater Sampling Set-up (2 hrs tech time)</t>
  </si>
  <si>
    <r>
      <t xml:space="preserve">Other Field Tasks </t>
    </r>
    <r>
      <rPr>
        <b/>
        <u/>
        <sz val="14"/>
        <rFont val="Arial"/>
        <family val="2"/>
      </rPr>
      <t>NOT</t>
    </r>
    <r>
      <rPr>
        <b/>
        <sz val="14"/>
        <rFont val="Arial"/>
        <family val="2"/>
      </rPr>
      <t xml:space="preserve"> Listed</t>
    </r>
  </si>
  <si>
    <t>Click a category below for the appropriate documents</t>
  </si>
  <si>
    <t>Rock Drilling 2" Well</t>
  </si>
  <si>
    <t>Rock Drilling 4" Well</t>
  </si>
  <si>
    <t>Rock Coring</t>
  </si>
  <si>
    <t>Well Completions</t>
  </si>
  <si>
    <t>Unconsolidated Media Drilling</t>
  </si>
  <si>
    <t xml:space="preserve">MW/RW Tremie Grout Abandonment </t>
  </si>
  <si>
    <t xml:space="preserve">Direct Push Technologies </t>
  </si>
  <si>
    <t>Direct Push well install materials per foot</t>
  </si>
  <si>
    <t>Other Items</t>
  </si>
  <si>
    <t>/mile</t>
  </si>
  <si>
    <t>/foot</t>
  </si>
  <si>
    <t xml:space="preserve">Recovery Well Vault removal and backfill w/concrete (2'x2') </t>
  </si>
  <si>
    <t xml:space="preserve">3 Includes personnel, screen, risers, bentonite, sand, silt sleeves, decon, skid steer, </t>
  </si>
  <si>
    <t>4 If an alternative type screen is warranted instead of typical pvc slotted screen (i.e. continuous screen, stainless steel, etc.)</t>
  </si>
  <si>
    <t>/tube</t>
  </si>
  <si>
    <t xml:space="preserve">Rock Coring </t>
  </si>
  <si>
    <t>Direct Push Well Materials</t>
  </si>
  <si>
    <t>2 Includes labor, concrete, forms (if needed), bolt down covers, caps, vaults, and locks</t>
  </si>
  <si>
    <t>Other (receipts required)</t>
  </si>
  <si>
    <t>Dibromoethane1,2, EDB</t>
  </si>
  <si>
    <t>Dichloroethane1,2 EDC</t>
  </si>
  <si>
    <t>8015D</t>
  </si>
  <si>
    <t>1,2 Dibromoethane</t>
  </si>
  <si>
    <t>Ozone Sparge O&amp;M</t>
  </si>
  <si>
    <t>Gloves</t>
  </si>
  <si>
    <t>Ozone O&amp;M</t>
  </si>
  <si>
    <t>Initial Abatement</t>
  </si>
  <si>
    <t>Air Flow Meter</t>
  </si>
  <si>
    <t>Outer Casing for Type III Well 0-20'</t>
  </si>
  <si>
    <t>/sampler</t>
  </si>
  <si>
    <t>Flow Meter (anemometer)</t>
  </si>
  <si>
    <t>Porous material 0-10 feet</t>
  </si>
  <si>
    <t>Porous material 0-30 feet</t>
  </si>
  <si>
    <t>Porous material 0-50 feet</t>
  </si>
  <si>
    <t>Porous material 0-90 feet</t>
  </si>
  <si>
    <t>Porous material 0-110 feet</t>
  </si>
  <si>
    <t>Porous material 0-10'</t>
  </si>
  <si>
    <t>Porous material 0-30'</t>
  </si>
  <si>
    <t>Porous material 0-50'</t>
  </si>
  <si>
    <t>Porous material 0-70'</t>
  </si>
  <si>
    <t>Porous material 0-90'</t>
  </si>
  <si>
    <t>Porous material 0-110'</t>
  </si>
  <si>
    <t>Hours</t>
  </si>
  <si>
    <t>Subtotal</t>
  </si>
  <si>
    <t>Task Total</t>
  </si>
  <si>
    <t>1,2 Dichloroethane</t>
  </si>
  <si>
    <t>Other Field Activities</t>
  </si>
  <si>
    <t>Laborer</t>
  </si>
  <si>
    <t>base fee</t>
  </si>
  <si>
    <t>Electrician</t>
  </si>
  <si>
    <t>Fencing</t>
  </si>
  <si>
    <t>/single gate</t>
  </si>
  <si>
    <t>/double gate</t>
  </si>
  <si>
    <t>Concrete</t>
  </si>
  <si>
    <t>/yd</t>
  </si>
  <si>
    <t>/bag</t>
  </si>
  <si>
    <t>Asphalt</t>
  </si>
  <si>
    <t>Fuel Surcharge</t>
  </si>
  <si>
    <t>PVC</t>
  </si>
  <si>
    <t>1"</t>
  </si>
  <si>
    <t>2"</t>
  </si>
  <si>
    <t>4"</t>
  </si>
  <si>
    <t>T's</t>
  </si>
  <si>
    <t>Couplings</t>
  </si>
  <si>
    <t>Elbows</t>
  </si>
  <si>
    <t>45's</t>
  </si>
  <si>
    <t>Ferrel joint</t>
  </si>
  <si>
    <t>Traps</t>
  </si>
  <si>
    <t>Cleaner/glue</t>
  </si>
  <si>
    <t>Roll off/ drums</t>
  </si>
  <si>
    <t>Cost Proposals and Payment Requests</t>
  </si>
  <si>
    <t>Porous material 0-70 feet</t>
  </si>
  <si>
    <t>SEMR - DPVE, P&amp;T Reports</t>
  </si>
  <si>
    <t>Alabama Tank Trust Fund Unit Rates</t>
  </si>
  <si>
    <t>Provide projected date of cleanup completed:</t>
  </si>
  <si>
    <t>Adder per Wells over 8</t>
  </si>
  <si>
    <t>Dibromoethane 1,2 EDB</t>
  </si>
  <si>
    <t>Dichloroethane 1,2 EDC</t>
  </si>
  <si>
    <t>/test</t>
  </si>
  <si>
    <t>TPH</t>
  </si>
  <si>
    <t>EDB</t>
  </si>
  <si>
    <t>NAMR/GWM adder &gt;12 wells, BTEX/MTBE/Naphthalene</t>
  </si>
  <si>
    <t xml:space="preserve">CAP Development - RNA </t>
  </si>
  <si>
    <t>/ltr</t>
  </si>
  <si>
    <t>/permit</t>
  </si>
  <si>
    <t>PAHsupply</t>
  </si>
  <si>
    <t>VOCsupply</t>
  </si>
  <si>
    <t xml:space="preserve"> Use "Quote Details" tab for guidance</t>
  </si>
  <si>
    <t xml:space="preserve">All Vendor quotes should be detailed, itemized and attached to Form "D"             </t>
  </si>
  <si>
    <r>
      <t xml:space="preserve">Owners Required Contribution for UST Release($5,000): </t>
    </r>
    <r>
      <rPr>
        <i/>
        <sz val="12"/>
        <rFont val="Arial"/>
        <family val="2"/>
      </rPr>
      <t>Applicable for CP#1 Only</t>
    </r>
  </si>
  <si>
    <r>
      <t xml:space="preserve">Owners Required Contribution for AST Release($10,000): </t>
    </r>
    <r>
      <rPr>
        <i/>
        <sz val="12"/>
        <rFont val="Arial"/>
        <family val="2"/>
      </rPr>
      <t>Applicable for CP#1 Only</t>
    </r>
  </si>
  <si>
    <t>Per Diem Daily</t>
  </si>
  <si>
    <t>Per Diem Extended</t>
  </si>
  <si>
    <r>
      <t xml:space="preserve">Solid Waste Profile </t>
    </r>
    <r>
      <rPr>
        <b/>
        <sz val="8"/>
        <rFont val="Arial"/>
        <family val="2"/>
      </rPr>
      <t>(form 300)</t>
    </r>
  </si>
  <si>
    <t>FOM</t>
  </si>
  <si>
    <t>Direct Push Technology</t>
  </si>
  <si>
    <t>Other Drilling Related Items</t>
  </si>
  <si>
    <t>Other Miscellaneous items/rentals (receipts required)</t>
  </si>
  <si>
    <t>Pilot Test</t>
  </si>
  <si>
    <t>Monitoring Well Abandonment</t>
  </si>
  <si>
    <t>Name &amp; Address</t>
  </si>
  <si>
    <t>ARBCA Tier I without PAHs (1-12 wells)</t>
  </si>
  <si>
    <t>Unit Rate Tier I NO PAHs</t>
  </si>
  <si>
    <t>ARBCA Tier I with PAHs (1-12 wells)</t>
  </si>
  <si>
    <t>Unit Rate Tier I PAHs</t>
  </si>
  <si>
    <t>ARBCA Tier II without PAHs (1-12 wells)</t>
  </si>
  <si>
    <t>Unit Rate Tier II NO PAHs</t>
  </si>
  <si>
    <t>ARBCA Tier II with PAHs (1-12 wells)</t>
  </si>
  <si>
    <t>Unit Rate Tier II PAHs</t>
  </si>
  <si>
    <t>Unit Rate NAMR/ GW Report no PAHs</t>
  </si>
  <si>
    <t>Unit Rate NAMR/ GW Report with PAHs</t>
  </si>
  <si>
    <t>SEMR Class I Report NO PAHs (up to 12 wells)</t>
  </si>
  <si>
    <t>SEMR Class I Report WITH PAHs (up to 12 wells)</t>
  </si>
  <si>
    <t>SEMR Class II or III Report NO PAHs (up to 12 wells)</t>
  </si>
  <si>
    <t>SEMR Class II or III Report WITH PAHs (up to 12 wells)</t>
  </si>
  <si>
    <r>
      <t xml:space="preserve">2. I certify that all costs incurred under this payment request have </t>
    </r>
    <r>
      <rPr>
        <i/>
        <u/>
        <sz val="11"/>
        <rFont val="Arial"/>
        <family val="2"/>
      </rPr>
      <t xml:space="preserve">NOT </t>
    </r>
    <r>
      <rPr>
        <i/>
        <sz val="11"/>
        <rFont val="Arial"/>
        <family val="2"/>
      </rPr>
      <t>been paid to the contractor.</t>
    </r>
  </si>
  <si>
    <t>Ozone, biosparge, SVE, biovent and Air Sparge O&amp;M 3 months</t>
  </si>
  <si>
    <t>Ozone, biosparge, SVE, biovent and Air Sparge O&amp;M 4 months</t>
  </si>
  <si>
    <t>Encore Samplers</t>
  </si>
  <si>
    <t>ADEM Solid Waste Profile (ADEM review fee)</t>
  </si>
  <si>
    <t>NPDES Permit Application (permit fee)</t>
  </si>
  <si>
    <t>UIC Permit Application (permit fee)</t>
  </si>
  <si>
    <t>Staff Scientist:</t>
  </si>
  <si>
    <t>Engineer:</t>
  </si>
  <si>
    <r>
      <t>CAP Development (Class 1</t>
    </r>
    <r>
      <rPr>
        <sz val="8"/>
        <rFont val="Arial"/>
        <family val="2"/>
      </rPr>
      <t>)- DPVE, P&amp;T with SVE</t>
    </r>
  </si>
  <si>
    <r>
      <t xml:space="preserve">Well Pad Completions for Recovery/Extraction Wells (2'x2') </t>
    </r>
    <r>
      <rPr>
        <vertAlign val="superscript"/>
        <sz val="10"/>
        <rFont val="Arial"/>
        <family val="2"/>
      </rPr>
      <t>2</t>
    </r>
  </si>
  <si>
    <r>
      <t xml:space="preserve">Air Rotary Rock Drilling per ft (2")  </t>
    </r>
    <r>
      <rPr>
        <vertAlign val="superscript"/>
        <sz val="10"/>
        <rFont val="Arial"/>
        <family val="2"/>
      </rPr>
      <t>3</t>
    </r>
  </si>
  <si>
    <r>
      <t xml:space="preserve">Air Rotary Rock Drilling per ft (4")  </t>
    </r>
    <r>
      <rPr>
        <vertAlign val="superscript"/>
        <sz val="10"/>
        <rFont val="Arial"/>
        <family val="2"/>
      </rPr>
      <t>3</t>
    </r>
  </si>
  <si>
    <t>Other Plan Report</t>
  </si>
  <si>
    <t>Other Field Task</t>
  </si>
  <si>
    <t>Soil Boring (no well set)/Direct Push oversight</t>
  </si>
  <si>
    <t>Soil Boring Only (no well installed)/Direct Push Oversight</t>
  </si>
  <si>
    <t>DPVE, Pump and Treat O&amp;M 3 months</t>
  </si>
  <si>
    <t>DPVE, Pump and Treat O&amp;M 4 months</t>
  </si>
  <si>
    <r>
      <t xml:space="preserve">Soil Boring (HSA) per ft (includes tremie grout abandonment) </t>
    </r>
    <r>
      <rPr>
        <vertAlign val="superscript"/>
        <sz val="10"/>
        <rFont val="Arial"/>
        <family val="2"/>
      </rPr>
      <t>6</t>
    </r>
  </si>
  <si>
    <r>
      <t xml:space="preserve">Temporary Well (HSA) per ft (includes tremie grout abandonment) </t>
    </r>
    <r>
      <rPr>
        <vertAlign val="superscript"/>
        <sz val="10"/>
        <rFont val="Arial"/>
        <family val="2"/>
      </rPr>
      <t>6</t>
    </r>
  </si>
  <si>
    <r>
      <t xml:space="preserve">Direct Push per day (includes all personnel time) </t>
    </r>
    <r>
      <rPr>
        <vertAlign val="superscript"/>
        <sz val="10"/>
        <rFont val="Arial"/>
        <family val="2"/>
      </rPr>
      <t>6</t>
    </r>
  </si>
  <si>
    <t>select lab, waste handling/disposal</t>
  </si>
  <si>
    <t>Copy, sort, mail documents, prepare CP/PR</t>
  </si>
  <si>
    <t>Groundwater Monitoring Plan (CP/PR included in report amount)</t>
  </si>
  <si>
    <t>Soil Boring porous material 0-10 feet</t>
  </si>
  <si>
    <t>Soil Boring porous material 0-30 feet</t>
  </si>
  <si>
    <t>Soil Boring porous material 0-50 feet</t>
  </si>
  <si>
    <t>Soil Boring porous material 0-70 feet</t>
  </si>
  <si>
    <t>Soil Boring porous material 0-10'</t>
  </si>
  <si>
    <t>Soil Boring porous material 0-30'</t>
  </si>
  <si>
    <t>Soil Boring porous material 0-50'</t>
  </si>
  <si>
    <t>Soil Boring porous material 0-70'</t>
  </si>
  <si>
    <t>System Install Oversight (up to 7 days)</t>
  </si>
  <si>
    <t>Engineer/Geologist</t>
  </si>
  <si>
    <t>DPVE, AS, SVE, P&amp;T O&amp;M</t>
  </si>
  <si>
    <t>DPVE, SVE, AS, P&amp;T O&amp;M</t>
  </si>
  <si>
    <t>Water Treatment/Disposal (to include hauling/handling)</t>
  </si>
  <si>
    <r>
      <t>CP Preparation (</t>
    </r>
    <r>
      <rPr>
        <sz val="8"/>
        <rFont val="Arial"/>
        <family val="2"/>
      </rPr>
      <t>CP requested by ADEM but not implemented)</t>
    </r>
  </si>
  <si>
    <t>Cost Proposal Preparation (Cost Proposal was requested by ADEM, but not implemented)</t>
  </si>
  <si>
    <t>Cost Proposal Preparation</t>
  </si>
  <si>
    <t>UIC Permit Greenfield Fee (permit fee)</t>
  </si>
  <si>
    <t>ALDOT Permit Fee</t>
  </si>
  <si>
    <t>UIC Permit Greenfield Fee</t>
  </si>
  <si>
    <t xml:space="preserve">Expendables O&amp;M </t>
  </si>
  <si>
    <t xml:space="preserve">Other </t>
  </si>
  <si>
    <t>Foaming Agents</t>
  </si>
  <si>
    <t>Total Organic Carbon</t>
  </si>
  <si>
    <t>Total Dissolved Solids</t>
  </si>
  <si>
    <t>Chloride</t>
  </si>
  <si>
    <t>Foaming Agent</t>
  </si>
  <si>
    <t xml:space="preserve">Unit </t>
  </si>
  <si>
    <t>Unit</t>
  </si>
  <si>
    <t>Alternate Screen for Recovery/Extraction/Injection Wells per/ft</t>
  </si>
  <si>
    <r>
      <t xml:space="preserve">                                  (Quote and Invoices Required) </t>
    </r>
    <r>
      <rPr>
        <vertAlign val="superscript"/>
        <sz val="10"/>
        <rFont val="Arial"/>
        <family val="2"/>
      </rPr>
      <t>4</t>
    </r>
  </si>
  <si>
    <r>
      <t xml:space="preserve">Air Rotary Rock Drilling per ft (2") </t>
    </r>
    <r>
      <rPr>
        <vertAlign val="superscript"/>
        <sz val="10"/>
        <rFont val="Arial"/>
        <family val="2"/>
      </rPr>
      <t xml:space="preserve"> 3</t>
    </r>
  </si>
  <si>
    <r>
      <t xml:space="preserve">Other Plan /Report </t>
    </r>
    <r>
      <rPr>
        <b/>
        <u/>
        <sz val="11"/>
        <rFont val="Arial"/>
        <family val="2"/>
      </rPr>
      <t>NOT</t>
    </r>
    <r>
      <rPr>
        <b/>
        <sz val="11"/>
        <rFont val="Arial"/>
        <family val="2"/>
      </rPr>
      <t xml:space="preserve"> Listed</t>
    </r>
  </si>
  <si>
    <r>
      <t xml:space="preserve">Other Field Tasks </t>
    </r>
    <r>
      <rPr>
        <b/>
        <u/>
        <sz val="11"/>
        <rFont val="Arial"/>
        <family val="2"/>
      </rPr>
      <t>NOT</t>
    </r>
    <r>
      <rPr>
        <b/>
        <sz val="11"/>
        <rFont val="Arial"/>
        <family val="2"/>
      </rPr>
      <t xml:space="preserve"> Listed</t>
    </r>
  </si>
  <si>
    <t>Postage / Shipping (Sample Shipping)</t>
  </si>
  <si>
    <t>Postage / Shipping  (documentation required)</t>
  </si>
  <si>
    <t>Specific Gravity</t>
  </si>
  <si>
    <t>ASTM 2216</t>
  </si>
  <si>
    <t>ASTM 2974</t>
  </si>
  <si>
    <t>ASTM 2473</t>
  </si>
  <si>
    <t>(EDB)</t>
  </si>
  <si>
    <t>(EDC)</t>
  </si>
  <si>
    <t>ASTM D854</t>
  </si>
  <si>
    <t>9071;5520</t>
  </si>
  <si>
    <t>8260B</t>
  </si>
  <si>
    <t>Secondary Plan (on and offsite)(once per site)</t>
  </si>
  <si>
    <t>Mileage rate per mile (current State rate)</t>
  </si>
  <si>
    <t>Monitoring Well Pad/Cover Repair/ Replacement</t>
  </si>
  <si>
    <t>Monitoring Well Pad/Cover Repair/Replacement</t>
  </si>
  <si>
    <t xml:space="preserve"> Per Diem</t>
  </si>
  <si>
    <t>Total Field Costs</t>
  </si>
  <si>
    <t>Total Report and Plan Costs</t>
  </si>
  <si>
    <t>Part II- Alabama Tank Trust Fund Itemization Form "A" Cost Proposal</t>
  </si>
  <si>
    <t>Part II- Alabama Tank Trust Fund Itemization Form "B" Cost Proposal</t>
  </si>
  <si>
    <t>Part II- Alabama Tank Trust Fund Itemization Form "C" Cost Proposal</t>
  </si>
  <si>
    <t>Part II- Alabama Tank Trust Fund Itemization Form "D" Cost Proposal</t>
  </si>
  <si>
    <t>Part II- Alabama Tank Trust Fund Itemization Form "E" Cost Proposal</t>
  </si>
  <si>
    <t>Technician:</t>
  </si>
  <si>
    <t xml:space="preserve">              Part II- Alabama Tank Trust Fund Itemization Form "D" Payment Request</t>
  </si>
  <si>
    <t>Part II- Alabama Tank Trust Fund Itemization Form "E" Payment Request</t>
  </si>
  <si>
    <t>Bedrock 0-20' air rotary</t>
  </si>
  <si>
    <t>Bedrock 0-40' air rotary</t>
  </si>
  <si>
    <t>Bedrock 0-60' air rotary</t>
  </si>
  <si>
    <t>Bedrock 0-80' air rotary</t>
  </si>
  <si>
    <t xml:space="preserve">MEME Water Disposal amount </t>
  </si>
  <si>
    <t xml:space="preserve">              Part II- Alabama Tank Trust Fund Itemization Form "C" Payment Request</t>
  </si>
  <si>
    <t xml:space="preserve">              Part II- Alabama Tank Trust Fund Itemization Form "B" Payment Request</t>
  </si>
  <si>
    <t xml:space="preserve">              Part II- Alabama Tank Trust Fund Itemization Form "A" Payment Request</t>
  </si>
  <si>
    <t xml:space="preserve">                                                        Sub Contractors/ Vendors/ Utilities</t>
  </si>
  <si>
    <t xml:space="preserve">     Well Installation Oversight time </t>
  </si>
  <si>
    <t>Corrective Action System Purchase</t>
  </si>
  <si>
    <t>Corrective Action System Rental</t>
  </si>
  <si>
    <t>Oxidizer Rental</t>
  </si>
  <si>
    <t>Requested$</t>
  </si>
  <si>
    <t>/ext. day</t>
  </si>
  <si>
    <t>Indicate Subcontractors used during this phase of work:</t>
  </si>
  <si>
    <t>Technician(s)-travel time</t>
  </si>
  <si>
    <t xml:space="preserve">Geologist/Engineer-travel time </t>
  </si>
  <si>
    <t>PG/PE-travel time</t>
  </si>
  <si>
    <t>Project Manager-travel time</t>
  </si>
  <si>
    <t>Geologist/Engineer-travel time</t>
  </si>
  <si>
    <t>Additional Well Installation Report (1-4 wells)(as an adder)</t>
  </si>
  <si>
    <t>Additional Well Installation Report (&gt;4wells)(as an adder)</t>
  </si>
  <si>
    <t>Additional Well Installation Report (&gt;4 wells)(as an adder)</t>
  </si>
  <si>
    <t>Per diem allowed for Alabama Tank Trust Fund Contractor Personnel Only</t>
  </si>
  <si>
    <t>Hour of</t>
  </si>
  <si>
    <t>City of</t>
  </si>
  <si>
    <t>Amount</t>
  </si>
  <si>
    <t>Departure</t>
  </si>
  <si>
    <t>Return</t>
  </si>
  <si>
    <t>Overnight</t>
  </si>
  <si>
    <t>Per diem</t>
  </si>
  <si>
    <t>mm/dd/yy</t>
  </si>
  <si>
    <t>From</t>
  </si>
  <si>
    <t>To</t>
  </si>
  <si>
    <t>am/pm</t>
  </si>
  <si>
    <t>Stay</t>
  </si>
  <si>
    <t>claimed</t>
  </si>
  <si>
    <t>Classification</t>
  </si>
  <si>
    <t>Name of</t>
  </si>
  <si>
    <t>Part II- Alabama Tank Trust Fund Itemization Form "F" Payment Request</t>
  </si>
  <si>
    <t>Part II- Alabama Tank Trust Fund Itemization Form "F" Cost Proposal</t>
  </si>
  <si>
    <t>Alabama Tank Trust Fund Form "G" Cost Proposal</t>
  </si>
  <si>
    <t>6 Includes well pad removal and surface completion as per surrounding</t>
  </si>
  <si>
    <t>CP/PR, Any other incidental/miscellaneous tasks not listed</t>
  </si>
  <si>
    <t>NAMR/GWM-Report</t>
  </si>
  <si>
    <t>Preliminary Investigation Report</t>
  </si>
  <si>
    <t>CAP Implementation Report - Excavation</t>
  </si>
  <si>
    <t>CA System Installation Report (all Classes same)</t>
  </si>
  <si>
    <t>SEMR Qtrly Ozone, AS, SVE, Chemox, Biosparge - Reports</t>
  </si>
  <si>
    <t>System Purchase Letter</t>
  </si>
  <si>
    <t>SEMR - Ozone, AS, SVE, Chemox, Biosparge - Reports</t>
  </si>
  <si>
    <t>CAP Modification (use Form "F" for input)</t>
  </si>
  <si>
    <r>
      <t xml:space="preserve">Other Plan/Report </t>
    </r>
    <r>
      <rPr>
        <sz val="8"/>
        <rFont val="Arial"/>
        <family val="2"/>
      </rPr>
      <t xml:space="preserve"> </t>
    </r>
    <r>
      <rPr>
        <sz val="10"/>
        <rFont val="Arial"/>
        <family val="2"/>
      </rPr>
      <t>(use Form "F" for input)</t>
    </r>
  </si>
  <si>
    <t>Method</t>
  </si>
  <si>
    <t>Type III Porous material</t>
  </si>
  <si>
    <t>Type III into Bedrock</t>
  </si>
  <si>
    <t>Total Depth 0-20'</t>
  </si>
  <si>
    <t>Total Depth 0-40'</t>
  </si>
  <si>
    <t>Total Depth 0-60'</t>
  </si>
  <si>
    <t>Total Depth 0-80'</t>
  </si>
  <si>
    <t>Total Depth 0-100'</t>
  </si>
  <si>
    <t>Type III Well 0-20' (entire well in porous material)</t>
  </si>
  <si>
    <t>Type III Well 0-40' (entire well in porous material)</t>
  </si>
  <si>
    <t>Type III Well 0-60' (entire well in porous material)</t>
  </si>
  <si>
    <t>Type III Well 0-80' (entire well in porous material)</t>
  </si>
  <si>
    <t>Type III Well 0-100' (entire well in porous material)</t>
  </si>
  <si>
    <t>Other Field Work not listed (use Form "F" for input)</t>
  </si>
  <si>
    <t>Type III Well Porous (Depth of entire well)</t>
  </si>
  <si>
    <t>Type III Well Bedrock (Depth of entire well)</t>
  </si>
  <si>
    <t>Complete forms "A" through "G" as applicable to site activities and for supporting attachments to Part I.</t>
  </si>
  <si>
    <t xml:space="preserve">Complete forms "A" through "G" as applicable to site activities and as supporting attachments.                  </t>
  </si>
  <si>
    <t>Maximum allowable rates are referenced on the "Maximum Rates" Tab in this document.                                  This page should be submitted whenever per diem is being claimed.</t>
  </si>
  <si>
    <t>Mob/Demob amount</t>
  </si>
  <si>
    <t>Type II Porous Media Drilling</t>
  </si>
  <si>
    <t>Type II Bedrock Drilling</t>
  </si>
  <si>
    <t>Type III Well 0-20' (bedrock encountered)</t>
  </si>
  <si>
    <t>Type III Well 0-40' (bedrock encountered)</t>
  </si>
  <si>
    <t>Type III Well 0-60' (bedrock encountered)</t>
  </si>
  <si>
    <t>Type III Well 0-80' (bedrock encountered)</t>
  </si>
  <si>
    <t>Type III Well 0-100' (bedrock encountered)</t>
  </si>
  <si>
    <t>Total number of ext. daily per diems</t>
  </si>
  <si>
    <t>Total number of daily per diems</t>
  </si>
  <si>
    <t>Projected</t>
  </si>
  <si>
    <t>Part II- Alabama Tank Trust Fund Itemization Form "E" Cost Proposal Additional Sheet</t>
  </si>
  <si>
    <t>Part II- Alabama Tank Trust Fund Itemization Form "E" Payment Request Additional Sheet</t>
  </si>
  <si>
    <t>Pass Through (if appropriate) Enter "5" or "10" as appropriate</t>
  </si>
  <si>
    <t>Pass Through</t>
  </si>
  <si>
    <t>Pass Through (if appropriate) Enter "10" or "5" as appropriate</t>
  </si>
  <si>
    <t>8015 GRO</t>
  </si>
  <si>
    <t>8015 DRO</t>
  </si>
  <si>
    <r>
      <t xml:space="preserve">Air Samples </t>
    </r>
    <r>
      <rPr>
        <sz val="8"/>
        <rFont val="Arial"/>
        <family val="2"/>
      </rPr>
      <t>(System Influent)</t>
    </r>
  </si>
  <si>
    <t xml:space="preserve"> Pass Through</t>
  </si>
  <si>
    <t>Quoted Amount</t>
  </si>
  <si>
    <t>Sample #</t>
  </si>
  <si>
    <t>Requested</t>
  </si>
  <si>
    <t>Enter Actual Amount Here</t>
  </si>
  <si>
    <t>"CP" Number of Samples</t>
  </si>
  <si>
    <t>ARBCA Report Tier I/RM 1</t>
  </si>
  <si>
    <t>ARBCA Report Tier II/RM 2</t>
  </si>
  <si>
    <t>ARBCA Report Tier 1/RM 1</t>
  </si>
  <si>
    <t>ARBCA Report Tier II/ RM 2</t>
  </si>
  <si>
    <t>Site Visit by PE/PG (CAP Development,etc)</t>
  </si>
  <si>
    <t>Mileage (One way office to site)</t>
  </si>
  <si>
    <t>Summary of ATTF Report and Plan Preparation Scenarios</t>
  </si>
  <si>
    <t>Horizontal Trenching/Soil (ft)</t>
  </si>
  <si>
    <t>Horizontal Trenching/Concrete (ft)</t>
  </si>
  <si>
    <t>Horizontal Trenching Soil (ft)</t>
  </si>
  <si>
    <t>Horizontal Trenching Concrete (ft)</t>
  </si>
  <si>
    <t>Number of round trips to site</t>
  </si>
  <si>
    <t>Solid Waste Soil Disposal (to include hauling/handling)</t>
  </si>
  <si>
    <t>Soil/Solid Waste Disposal fee (Name Landfilll)</t>
  </si>
  <si>
    <t>day</t>
  </si>
  <si>
    <t>Skidsteer (750max/week)</t>
  </si>
  <si>
    <r>
      <t xml:space="preserve">4" Monitoring Well (HSA) </t>
    </r>
    <r>
      <rPr>
        <vertAlign val="superscript"/>
        <sz val="10"/>
        <rFont val="Arial"/>
        <family val="2"/>
      </rPr>
      <t>3</t>
    </r>
  </si>
  <si>
    <r>
      <t xml:space="preserve">Type III Well (HSA) </t>
    </r>
    <r>
      <rPr>
        <vertAlign val="superscript"/>
        <sz val="10"/>
        <rFont val="Arial"/>
        <family val="2"/>
      </rPr>
      <t>5</t>
    </r>
  </si>
  <si>
    <t>Type III Well</t>
  </si>
  <si>
    <r>
      <t xml:space="preserve">Type III Well </t>
    </r>
    <r>
      <rPr>
        <vertAlign val="superscript"/>
        <sz val="10"/>
        <rFont val="Arial"/>
        <family val="2"/>
      </rPr>
      <t>5</t>
    </r>
  </si>
  <si>
    <r>
      <t xml:space="preserve">  </t>
    </r>
    <r>
      <rPr>
        <b/>
        <u/>
        <sz val="11"/>
        <color indexed="8"/>
        <rFont val="Arial"/>
        <family val="2"/>
      </rPr>
      <t>Unit $</t>
    </r>
    <r>
      <rPr>
        <b/>
        <sz val="11"/>
        <color indexed="8"/>
        <rFont val="Arial"/>
        <family val="2"/>
      </rPr>
      <t xml:space="preserve"> </t>
    </r>
    <r>
      <rPr>
        <b/>
        <u/>
        <sz val="11"/>
        <color indexed="8"/>
        <rFont val="Arial"/>
        <family val="2"/>
      </rPr>
      <t>Unit</t>
    </r>
    <r>
      <rPr>
        <b/>
        <sz val="11"/>
        <color indexed="8"/>
        <rFont val="Arial"/>
        <family val="2"/>
      </rPr>
      <t xml:space="preserve">        </t>
    </r>
    <r>
      <rPr>
        <b/>
        <u/>
        <sz val="11"/>
        <color indexed="8"/>
        <rFont val="Arial"/>
        <family val="2"/>
      </rPr>
      <t>Quantity</t>
    </r>
    <r>
      <rPr>
        <b/>
        <sz val="11"/>
        <color indexed="8"/>
        <rFont val="Arial"/>
        <family val="2"/>
      </rPr>
      <t xml:space="preserve">   </t>
    </r>
    <r>
      <rPr>
        <b/>
        <u/>
        <sz val="11"/>
        <color indexed="8"/>
        <rFont val="Arial"/>
        <family val="2"/>
      </rPr>
      <t>Requested$</t>
    </r>
  </si>
  <si>
    <t>/event</t>
  </si>
  <si>
    <t>Expendables*</t>
  </si>
  <si>
    <t>O&amp;M Expendables**</t>
  </si>
  <si>
    <t>Expendables O&amp;M</t>
  </si>
  <si>
    <t>** includes influent and effluent sampling</t>
  </si>
  <si>
    <t>*  for scope of work (i.e. Preliminary is one scope)</t>
  </si>
  <si>
    <t>ADEM</t>
  </si>
  <si>
    <t>USE ONLY</t>
  </si>
  <si>
    <t>Contract/Owner Number:</t>
  </si>
  <si>
    <t>Approved Payment:</t>
  </si>
  <si>
    <t>Total CP Approved Amount</t>
  </si>
  <si>
    <t xml:space="preserve">Total CP Approved Amount </t>
  </si>
  <si>
    <t>Total Subs/Vendors/Utilities</t>
  </si>
  <si>
    <t xml:space="preserve">                  All Vendor Invoices should be detailed, itemized and attached to Form "D"</t>
  </si>
  <si>
    <t>Part II- Alabama Tank Trust Fund Invoice Details Form "G" Payment Request</t>
  </si>
  <si>
    <t>Each invoiced item should have the appropriate detail amount listed below</t>
  </si>
  <si>
    <t>CP #</t>
  </si>
  <si>
    <t>Facility I.D. #</t>
  </si>
  <si>
    <t>CP Total</t>
  </si>
  <si>
    <t>Incident Number</t>
  </si>
  <si>
    <t>PR Total</t>
  </si>
  <si>
    <t>Incident #</t>
  </si>
  <si>
    <t xml:space="preserve">ADEM Payment Request Summary </t>
  </si>
  <si>
    <t xml:space="preserve">Carbon Disposal </t>
  </si>
  <si>
    <t>Carbon Recycling</t>
  </si>
  <si>
    <t xml:space="preserve">Carbon Recycling </t>
  </si>
  <si>
    <t>Boring/Well Installation/        Abandonment</t>
  </si>
  <si>
    <t>Site Name</t>
  </si>
  <si>
    <t>MEME Event/Pilot Test/Injection Event (hourly rate)</t>
  </si>
  <si>
    <t xml:space="preserve"> Cost Proposal Summary</t>
  </si>
  <si>
    <t>Mileage Rate</t>
  </si>
  <si>
    <t>Professional Survey (Licensed Surveyor)</t>
  </si>
  <si>
    <t>Interpret results, prepare correspondance, make recommendations</t>
  </si>
  <si>
    <t>Review results, correspondance and recommendations</t>
  </si>
  <si>
    <t>Field Equipment</t>
  </si>
  <si>
    <t>High Resolution Imaging Plan/Report (stand alone)</t>
  </si>
  <si>
    <t>/pln/rprt</t>
  </si>
  <si>
    <t xml:space="preserve">Prepare Maps to include MWs on photos where probe points are located, </t>
  </si>
  <si>
    <t>site maps, a cross section of contamination.</t>
  </si>
  <si>
    <t>High Resolution Plan/Report</t>
  </si>
  <si>
    <r>
      <t xml:space="preserve">1" / 2" Monitoring Well/Injection Well (HSA) </t>
    </r>
    <r>
      <rPr>
        <vertAlign val="superscript"/>
        <sz val="10"/>
        <rFont val="Arial"/>
        <family val="2"/>
      </rPr>
      <t>3</t>
    </r>
  </si>
  <si>
    <t>* Well-MW, RW, Injection well, water supply well, surface water, springs</t>
  </si>
  <si>
    <t>Unit Rate adder per well * over 12</t>
  </si>
  <si>
    <r>
      <t xml:space="preserve">Unit Rate adder per well </t>
    </r>
    <r>
      <rPr>
        <b/>
        <sz val="10"/>
        <rFont val="Arial"/>
        <family val="2"/>
      </rPr>
      <t>*</t>
    </r>
    <r>
      <rPr>
        <sz val="10"/>
        <rFont val="Arial"/>
        <family val="2"/>
      </rPr>
      <t>/sample over 12</t>
    </r>
  </si>
  <si>
    <t>CAP Implementation Report -Liquid Injections</t>
  </si>
  <si>
    <r>
      <t>Sampling Expendables</t>
    </r>
    <r>
      <rPr>
        <sz val="8"/>
        <rFont val="Arial"/>
        <family val="2"/>
      </rPr>
      <t>(gloves, ice, string, jars, foil, distilled water, paper towels, etc.)</t>
    </r>
  </si>
  <si>
    <t>High Resolution</t>
  </si>
  <si>
    <t>scientist</t>
  </si>
  <si>
    <r>
      <t>Additional Well Installation Report (Investigative phase 1-4 wells)</t>
    </r>
    <r>
      <rPr>
        <b/>
        <sz val="8"/>
        <rFont val="Arial"/>
        <family val="2"/>
      </rPr>
      <t>(Adder to Report)</t>
    </r>
  </si>
  <si>
    <r>
      <t>Additional Well Installation Plan (Investigative phase &gt;4 wells)</t>
    </r>
    <r>
      <rPr>
        <b/>
        <sz val="10"/>
        <rFont val="Arial"/>
        <family val="2"/>
      </rPr>
      <t>(Adder to Report)</t>
    </r>
  </si>
  <si>
    <t>Total Organic Carbon (Walkley Black)</t>
  </si>
  <si>
    <t>FOM (ASTM 2947)</t>
  </si>
  <si>
    <t xml:space="preserve"> Approved Amount Per Sample</t>
  </si>
  <si>
    <t>Activities/Other/Brief Summary of Activities:</t>
  </si>
  <si>
    <t>Schedule internal personnel, DMR for NPDES</t>
  </si>
  <si>
    <t>Data Input, write report, DMR preparation</t>
  </si>
  <si>
    <t>Unit Rate adder per well over 12</t>
  </si>
  <si>
    <t>/addendum</t>
  </si>
  <si>
    <t>Adder amount for &gt;3 MEME/Injection Events (per approved period)</t>
  </si>
  <si>
    <t>MEME/Injection Events (adder to report)</t>
  </si>
  <si>
    <t xml:space="preserve"> </t>
  </si>
  <si>
    <t>Monitoring Well/Boring Installation</t>
  </si>
  <si>
    <t>Monitoring Well/Boring Abandonment</t>
  </si>
  <si>
    <t>Soil Sampling Setup (1-4 wells)</t>
  </si>
  <si>
    <t>Soil Sampling Setup adder (each additional group of 4 wells)</t>
  </si>
  <si>
    <t>System Decommissioning</t>
  </si>
  <si>
    <t>Monitoring Well Pad Replacement</t>
  </si>
  <si>
    <t>Private/Public Well Inventory (up to 5 wells)</t>
  </si>
  <si>
    <t xml:space="preserve">Site Survey </t>
  </si>
  <si>
    <t>Slug Testing per well</t>
  </si>
  <si>
    <t>Well Re-development/well</t>
  </si>
  <si>
    <t>Well Gauging Only</t>
  </si>
  <si>
    <t>Well Gauging and Sampling 2" Well</t>
  </si>
  <si>
    <t>Well Gauging and Sampling 4" Well</t>
  </si>
  <si>
    <t>Well Gauging and Sampling 6" Well</t>
  </si>
  <si>
    <t>Well Sampling Public Well</t>
  </si>
  <si>
    <t>Well Sampling Private Well</t>
  </si>
  <si>
    <t>Well Sampling Per Stream (1-3 samples)</t>
  </si>
  <si>
    <t>DPVE O&amp;M 3 months</t>
  </si>
  <si>
    <t>O&amp;M 4 months</t>
  </si>
  <si>
    <t>Soil Sampling Set Up</t>
  </si>
  <si>
    <t>Soil Sampling adder for group of four</t>
  </si>
  <si>
    <t>Eng/Geo</t>
  </si>
  <si>
    <t>System Install Oversight Adder (per day)</t>
  </si>
  <si>
    <t>Other Field Tasks</t>
  </si>
  <si>
    <t>Prepare addendum for straight forward item</t>
  </si>
  <si>
    <t>(ex. Additional well footage)</t>
  </si>
  <si>
    <t>Prepare addendum for issue with considerable effort, where</t>
  </si>
  <si>
    <t>oversight or error was not the cause</t>
  </si>
  <si>
    <t xml:space="preserve"> MEME/Injection Events (Adder amount to GW Monitoring Report)</t>
  </si>
  <si>
    <t xml:space="preserve">Additional effort involved with Injection Extraction events over </t>
  </si>
  <si>
    <t>three per SOW</t>
  </si>
  <si>
    <t>Additional Adder for MEME</t>
  </si>
  <si>
    <t>Addendum Tier I</t>
  </si>
  <si>
    <t>Addendum Tier II</t>
  </si>
  <si>
    <t>soil sample setup</t>
  </si>
  <si>
    <t>soil samle time over 4 wells</t>
  </si>
  <si>
    <t>System decommissioning</t>
  </si>
  <si>
    <t>Adder amount for &gt;3MEME/Injection Events (per approved period)</t>
  </si>
  <si>
    <t>CAP Implementation Report - Liquid Injections</t>
  </si>
  <si>
    <r>
      <t>Sampling Expendables</t>
    </r>
    <r>
      <rPr>
        <sz val="9"/>
        <rFont val="Arial"/>
        <family val="2"/>
      </rPr>
      <t xml:space="preserve"> </t>
    </r>
  </si>
  <si>
    <t>Monitoring Well/ Boring Abandonment</t>
  </si>
  <si>
    <t>Monitoring Well/ Boring Installation</t>
  </si>
  <si>
    <t>Peristaltic pump and tubing</t>
  </si>
  <si>
    <t>Well Development Expendables</t>
  </si>
  <si>
    <t>Monitoring Well Abandonment Oversight Overdrilling</t>
  </si>
  <si>
    <t>Monitoring Well Abandonment Oversight Grouting in Place</t>
  </si>
  <si>
    <t>Recovery Well Vault Abandonment Oversight</t>
  </si>
  <si>
    <t>Staff Eng/Geo</t>
  </si>
  <si>
    <t>Offsite Access ALDOT</t>
  </si>
  <si>
    <t>Unit Rate for ALDOT access</t>
  </si>
  <si>
    <t xml:space="preserve">Adder per well over twelve (reporting time): </t>
  </si>
  <si>
    <r>
      <t xml:space="preserve">Adder per well over twelve </t>
    </r>
    <r>
      <rPr>
        <sz val="10"/>
        <rFont val="Arial"/>
        <family val="2"/>
      </rPr>
      <t xml:space="preserve">(reporting time): </t>
    </r>
  </si>
  <si>
    <t>Contact offsite property owners for drilling</t>
  </si>
  <si>
    <t xml:space="preserve">Review Well Installation Plan for technical issues, adjust as necessary, </t>
  </si>
  <si>
    <t xml:space="preserve">Sign Plan, any other incidentals/miscellaneous tasks not listed </t>
  </si>
  <si>
    <t>Interpret data, prepare plan, data QA/QC, sampling procedures</t>
  </si>
  <si>
    <t>Schedule internal personnel and vendors for install, baseline sampling</t>
  </si>
  <si>
    <t>Field notes logged into report, installation, start up, baseline sampling</t>
  </si>
  <si>
    <t>DPVE Pilot Test Report (does not include well installation)</t>
  </si>
  <si>
    <t>Geo/Eng</t>
  </si>
  <si>
    <t>Tier I Addendum Preparation</t>
  </si>
  <si>
    <t>Tier II Addendum Preparation</t>
  </si>
  <si>
    <t>prepare payment request, UIC reporting, cost proposal</t>
  </si>
  <si>
    <t xml:space="preserve">UIC Reporting, Any other incidentals/miscellaneous tasks not listed </t>
  </si>
  <si>
    <t>prepare payment request, UIC reporting, Cost Proposal</t>
  </si>
  <si>
    <t>Data Input, write report, DMR preparation, UIC reporting</t>
  </si>
  <si>
    <t>UIC reporting, prepare payment request,</t>
  </si>
  <si>
    <t>UIC Reporting, prepare payment request, cost proposal</t>
  </si>
  <si>
    <t>Schedule internal personnel, DMR for NPDES, UIC reporting</t>
  </si>
  <si>
    <t>Monitoring Well Development</t>
  </si>
  <si>
    <t>This Payment Request exceeds the approved Cost Proposal by</t>
  </si>
  <si>
    <t xml:space="preserve">Water Treatment/Disposal </t>
  </si>
  <si>
    <t>Cost Proposal Approved Amount</t>
  </si>
  <si>
    <t xml:space="preserve">     (direct push, skid steer, etc.)</t>
  </si>
  <si>
    <t>MEME Water Disposal Amount includes hauling</t>
  </si>
  <si>
    <r>
      <t xml:space="preserve">Well Pad Completions for Monitoring Wells (2" and 4")(12" cover) </t>
    </r>
    <r>
      <rPr>
        <vertAlign val="superscript"/>
        <sz val="10"/>
        <rFont val="Arial"/>
        <family val="2"/>
      </rPr>
      <t>2</t>
    </r>
  </si>
  <si>
    <r>
      <t>Well Pad Completions for Monitoring Wells (2" and 4")(up to 8" cover)</t>
    </r>
    <r>
      <rPr>
        <vertAlign val="superscript"/>
        <sz val="10"/>
        <rFont val="Arial"/>
        <family val="2"/>
      </rPr>
      <t>2</t>
    </r>
  </si>
  <si>
    <t xml:space="preserve">        saw cutting, coring, safety equipment, plastic sheeting, water, etc.</t>
  </si>
  <si>
    <t>MW/RW Pad Removal</t>
  </si>
  <si>
    <t>/pad</t>
  </si>
  <si>
    <t>MW/RW Pad removal</t>
  </si>
  <si>
    <t>Sonic Drilling</t>
  </si>
  <si>
    <r>
      <t xml:space="preserve">Well Pad Completions (2" and 4")(up to 8" cover) </t>
    </r>
    <r>
      <rPr>
        <vertAlign val="superscript"/>
        <sz val="10"/>
        <rFont val="Arial"/>
        <family val="2"/>
      </rPr>
      <t>2</t>
    </r>
    <r>
      <rPr>
        <sz val="10"/>
        <rFont val="Arial"/>
        <family val="2"/>
      </rPr>
      <t xml:space="preserve"> </t>
    </r>
  </si>
  <si>
    <r>
      <t xml:space="preserve">Well Pad Completions (2" and 4")(12" cover) </t>
    </r>
    <r>
      <rPr>
        <vertAlign val="superscript"/>
        <sz val="10"/>
        <rFont val="Arial"/>
        <family val="2"/>
      </rPr>
      <t>2</t>
    </r>
    <r>
      <rPr>
        <sz val="10"/>
        <rFont val="Arial"/>
        <family val="2"/>
      </rPr>
      <t xml:space="preserve"> </t>
    </r>
  </si>
  <si>
    <r>
      <t xml:space="preserve">1" / 2" Monitoring Well (HSA) </t>
    </r>
    <r>
      <rPr>
        <vertAlign val="superscript"/>
        <sz val="10"/>
        <rFont val="Arial"/>
        <family val="2"/>
      </rPr>
      <t>3</t>
    </r>
  </si>
  <si>
    <t xml:space="preserve">        saw cutting, coring, safety equipment, plastic sheeting, water, well developing, etc.</t>
  </si>
  <si>
    <t xml:space="preserve">Recovery Well Vault backfill w/concrete only (2'x2') </t>
  </si>
  <si>
    <t>Well Completion MW 8" cover</t>
  </si>
  <si>
    <t>Well Completion MW 12" cover</t>
  </si>
  <si>
    <t>RW/EW vault abandonment (removal)</t>
  </si>
  <si>
    <t>RW/EW vault abandonment (fill in place)</t>
  </si>
  <si>
    <r>
      <t>Well Pad Completions RW/EW non hinged lid (2'x2')</t>
    </r>
    <r>
      <rPr>
        <vertAlign val="superscript"/>
        <sz val="10"/>
        <rFont val="Arial"/>
        <family val="2"/>
      </rPr>
      <t>2</t>
    </r>
  </si>
  <si>
    <t>CAP Development - Liquid Injections</t>
  </si>
  <si>
    <t>Emergency Response</t>
  </si>
  <si>
    <t>Emergency Response (Contact ADEM for approval)</t>
  </si>
  <si>
    <t>Emergency Response Multiplier</t>
  </si>
  <si>
    <t>times</t>
  </si>
  <si>
    <t>Technicians(s)-travel time</t>
  </si>
  <si>
    <t>Additional MEME/Injection Events (Adder for Groups of &gt;3 Events)</t>
  </si>
  <si>
    <t>Initial Abatement Report (without MEME)</t>
  </si>
  <si>
    <t xml:space="preserve">Preliminary Investigation Report </t>
  </si>
  <si>
    <t>Secondary Investigation Report (up to 12 wells)</t>
  </si>
  <si>
    <t>Management time for access, included filling out forms and other</t>
  </si>
  <si>
    <t>documents required by ALDOT</t>
  </si>
  <si>
    <t>Review time for documents</t>
  </si>
  <si>
    <t>Prepare any documentation required</t>
  </si>
  <si>
    <t xml:space="preserve">Prepare maps, figures or other required items </t>
  </si>
  <si>
    <t>Copy, sort, bind, mail documents</t>
  </si>
  <si>
    <t>Unit Rate Free Product/MEME Plan</t>
  </si>
  <si>
    <t xml:space="preserve"> FP RECOVERY PLAN including MEME (CP/PR in Report amount)</t>
  </si>
  <si>
    <t xml:space="preserve"> FP RECOVERY PLAN  MEME (CP/PR amount in Report amount)</t>
  </si>
  <si>
    <t>MW Abandonment Plan (CP/PR in Report amount)</t>
  </si>
  <si>
    <t>System Decommissioning Plan (CP/PR in Report amount)</t>
  </si>
  <si>
    <t>Specific Capacity Plan (CP/PR in Report amount)</t>
  </si>
  <si>
    <t xml:space="preserve"> DPVE Pilot Test Plan (Does not include well installation)(CP/PR in Report amount)</t>
  </si>
  <si>
    <t>ISCO/ Bio-Remediation Pilot Test Plan (CP/PR in Report amount)</t>
  </si>
  <si>
    <t>Investigation Derived Waste Plan (Stand alone)(CP/PR in Report amount)</t>
  </si>
  <si>
    <t>Alternate Water Supply Plan (connect to public water)(CP/PR in Report amount)</t>
  </si>
  <si>
    <t>Replace Public Water Line Plan (public water main is damaged)(CP/PR in Report amount)</t>
  </si>
  <si>
    <t>Addendum review</t>
  </si>
  <si>
    <r>
      <t>Well Pad Completions Recovery/Extraction Wells non hinged lid (2'x2')</t>
    </r>
    <r>
      <rPr>
        <vertAlign val="superscript"/>
        <sz val="10"/>
        <rFont val="Arial"/>
        <family val="2"/>
      </rPr>
      <t>2</t>
    </r>
  </si>
  <si>
    <r>
      <t xml:space="preserve">Alternate Screen for Recovery/Extraction Wells per/ft(Quotes Required) </t>
    </r>
    <r>
      <rPr>
        <vertAlign val="superscript"/>
        <sz val="10"/>
        <rFont val="Arial"/>
        <family val="2"/>
      </rPr>
      <t>4</t>
    </r>
  </si>
  <si>
    <t>Initial Abatement Report (free product recovery only)</t>
  </si>
  <si>
    <t>Prepare Well Installation Plan</t>
  </si>
  <si>
    <t xml:space="preserve">Prepare Maps and figures </t>
  </si>
  <si>
    <t>Cost Proposal Tier I Addendum Request</t>
  </si>
  <si>
    <t>Cost Proposal Tier II Addendum Request</t>
  </si>
  <si>
    <t>Unit Rate Application Preparation</t>
  </si>
  <si>
    <t>Unit Rate UIC Permit Preparation</t>
  </si>
  <si>
    <t>Unit Rate Solid Waste Profile Preparation</t>
  </si>
  <si>
    <t>Site Stabilization/Initial Abatement</t>
  </si>
  <si>
    <t>Secondary Investigation / Additional Well Installation</t>
  </si>
  <si>
    <t>Alabama Risk Based Corrective Action (ARBCA)</t>
  </si>
  <si>
    <t>Groundwater Sampling</t>
  </si>
  <si>
    <t>Free Product Removal/Mobile Enhanced Multiphase Extraction (MEME)</t>
  </si>
  <si>
    <t>Monitoring/Recovery/Injection Well Abandonment</t>
  </si>
  <si>
    <t>System Decommissioning/Removal</t>
  </si>
  <si>
    <t>Project Contact Phone #:</t>
  </si>
  <si>
    <t>Project Contact E-mail:</t>
  </si>
  <si>
    <t xml:space="preserve">Total of Previously Approved Cost </t>
  </si>
  <si>
    <t>Proposals:</t>
  </si>
  <si>
    <t>Total Proposed Costs to Date</t>
  </si>
  <si>
    <t xml:space="preserve">(Approved Costs Plus Costs Proposed in </t>
  </si>
  <si>
    <t>this Cost Proposal):</t>
  </si>
  <si>
    <t>Groundwater Monitoring Plan (GWM)</t>
  </si>
  <si>
    <r>
      <t xml:space="preserve">High Resolution Characterization Plan/Report </t>
    </r>
    <r>
      <rPr>
        <sz val="9"/>
        <rFont val="Arial"/>
        <family val="2"/>
      </rPr>
      <t>(stand alone)</t>
    </r>
  </si>
  <si>
    <r>
      <t xml:space="preserve">CAP Development - CA Evaluation </t>
    </r>
    <r>
      <rPr>
        <sz val="8"/>
        <rFont val="Arial"/>
        <family val="2"/>
      </rPr>
      <t>(once per site)</t>
    </r>
  </si>
  <si>
    <r>
      <t>CAP Development (Class 2)</t>
    </r>
    <r>
      <rPr>
        <sz val="8"/>
        <rFont val="Arial"/>
        <family val="2"/>
      </rPr>
      <t xml:space="preserve"> - Ozone/SVE, AS/SVE, Liquid Chemox/Biox</t>
    </r>
  </si>
  <si>
    <t>Alternate Water Supply Plan</t>
  </si>
  <si>
    <t>Alternate Water Supply Report</t>
  </si>
  <si>
    <t>Cost Proposal Tier I Addendum Preparation</t>
  </si>
  <si>
    <t>Cost Proposal Tier II Addendum Preparation</t>
  </si>
  <si>
    <r>
      <t xml:space="preserve">Site Survey during Investigation </t>
    </r>
    <r>
      <rPr>
        <sz val="9"/>
        <rFont val="Arial"/>
        <family val="2"/>
      </rPr>
      <t>(not a Licensed Surveyor)</t>
    </r>
  </si>
  <si>
    <t>MW/RW/IW Abandonment Oversight for Overdrilling</t>
  </si>
  <si>
    <t>MW/RW/IW Abandonment Oversight for Grouting in Casing</t>
  </si>
  <si>
    <r>
      <t xml:space="preserve">Well Re-Development </t>
    </r>
    <r>
      <rPr>
        <sz val="8"/>
        <rFont val="Arial"/>
        <family val="2"/>
      </rPr>
      <t>(initial development included in drilling oversight costs)</t>
    </r>
  </si>
  <si>
    <t>Mileage Rate (Current Federal Rate)</t>
  </si>
  <si>
    <t>1 Mileage (enter ONE WAY miles) for any and all support vehicles, trailers, equipment, and personnel travel time</t>
  </si>
  <si>
    <t xml:space="preserve">8-hr MEME Event </t>
  </si>
  <si>
    <t xml:space="preserve">12-hr MEME Event </t>
  </si>
  <si>
    <t xml:space="preserve">24-hr MEME Event </t>
  </si>
  <si>
    <t>Water Supply for Liquid Ring Pump</t>
  </si>
  <si>
    <t>Estimate Percent Completion of Entire Project to Date:</t>
  </si>
  <si>
    <t>Payment Request Amount from Forms:</t>
  </si>
  <si>
    <t>Total of Previously Approved Payment Requests:</t>
  </si>
  <si>
    <t>Total of Payment Requests to Date: (Approved Payment Requests plus amount proposed in this request)</t>
  </si>
  <si>
    <r>
      <t xml:space="preserve">High Resolution Characterization Report </t>
    </r>
    <r>
      <rPr>
        <sz val="9"/>
        <rFont val="Arial"/>
        <family val="2"/>
      </rPr>
      <t>(stand alone)</t>
    </r>
  </si>
  <si>
    <r>
      <t xml:space="preserve">Site Survey during Investigation </t>
    </r>
    <r>
      <rPr>
        <sz val="9"/>
        <rFont val="Arial"/>
        <family val="2"/>
      </rPr>
      <t>(not a Licensed Surveryor)</t>
    </r>
  </si>
  <si>
    <t>1 Mileage (enter ONE WAY miles) for any and all support vehicles, trailers, equipment, and personnel time</t>
  </si>
  <si>
    <t xml:space="preserve">Please describe the cause of the exceedance below and include appropriate invoices </t>
  </si>
  <si>
    <r>
      <t xml:space="preserve">Other/Misc. </t>
    </r>
    <r>
      <rPr>
        <sz val="8"/>
        <rFont val="Arial"/>
        <family val="2"/>
      </rPr>
      <t>(receipts required)</t>
    </r>
  </si>
  <si>
    <r>
      <t>Recovery Well Vault removal and backfill w/concrete (2'x2')</t>
    </r>
    <r>
      <rPr>
        <vertAlign val="superscript"/>
        <sz val="10"/>
        <rFont val="Arial"/>
        <family val="2"/>
      </rPr>
      <t xml:space="preserve">7 </t>
    </r>
  </si>
  <si>
    <t>5 Includes personnel, outer and inner casing of entire well, screen, grout, decon, skid steer, saw cutting, coring, safety equipment, plastic sheeting, water, etc.</t>
  </si>
  <si>
    <r>
      <t>Recovery Well Vault removal and backfill w/concrete (2'x2')</t>
    </r>
    <r>
      <rPr>
        <vertAlign val="superscript"/>
        <sz val="10"/>
        <rFont val="Arial"/>
        <family val="2"/>
      </rPr>
      <t>7</t>
    </r>
  </si>
  <si>
    <r>
      <t xml:space="preserve">Groundwater Sampling Set-up </t>
    </r>
    <r>
      <rPr>
        <sz val="8"/>
        <rFont val="Arial"/>
        <family val="2"/>
      </rPr>
      <t>(2hrs tech time)</t>
    </r>
  </si>
  <si>
    <t xml:space="preserve">Well Sampling Set Up </t>
  </si>
  <si>
    <t>Purge water disposal</t>
  </si>
  <si>
    <t>Groundwater Sampling Set-up</t>
  </si>
  <si>
    <t>Invoice No:</t>
  </si>
  <si>
    <r>
      <t xml:space="preserve">Purge/Development Water Handling </t>
    </r>
    <r>
      <rPr>
        <sz val="8"/>
        <rFont val="Arial"/>
        <family val="2"/>
      </rPr>
      <t>(see Basis)</t>
    </r>
  </si>
  <si>
    <t>Purge Water Disposal</t>
  </si>
  <si>
    <t xml:space="preserve">*Does not apply to Operating DPVE System or Active MEME events </t>
  </si>
  <si>
    <r>
      <t xml:space="preserve">2" MW/RW Abandonment by Overdrilling then tremie grouted </t>
    </r>
    <r>
      <rPr>
        <vertAlign val="superscript"/>
        <sz val="10"/>
        <rFont val="Arial"/>
        <family val="2"/>
      </rPr>
      <t>3</t>
    </r>
    <r>
      <rPr>
        <sz val="10"/>
        <rFont val="Arial"/>
        <family val="2"/>
      </rPr>
      <t xml:space="preserve"> </t>
    </r>
  </si>
  <si>
    <r>
      <t xml:space="preserve">4" MW/RW Abandonment by Overdrilling then tremie grouted </t>
    </r>
    <r>
      <rPr>
        <vertAlign val="superscript"/>
        <sz val="10"/>
        <rFont val="Arial"/>
        <family val="2"/>
      </rPr>
      <t>3</t>
    </r>
    <r>
      <rPr>
        <sz val="10"/>
        <rFont val="Arial"/>
        <family val="2"/>
      </rPr>
      <t xml:space="preserve"> </t>
    </r>
  </si>
  <si>
    <r>
      <t>2" MW/RW  Abandonment by Overdrilling then tremie grout</t>
    </r>
    <r>
      <rPr>
        <vertAlign val="superscript"/>
        <sz val="10"/>
        <rFont val="Arial"/>
        <family val="2"/>
      </rPr>
      <t xml:space="preserve"> 3</t>
    </r>
    <r>
      <rPr>
        <sz val="10"/>
        <rFont val="Arial"/>
        <family val="2"/>
      </rPr>
      <t xml:space="preserve"> </t>
    </r>
  </si>
  <si>
    <r>
      <t>4" MW/RW  Abandonment by Overdrilling then tremie grout</t>
    </r>
    <r>
      <rPr>
        <vertAlign val="superscript"/>
        <sz val="10"/>
        <rFont val="Arial"/>
        <family val="2"/>
      </rPr>
      <t xml:space="preserve"> 3</t>
    </r>
    <r>
      <rPr>
        <sz val="10"/>
        <rFont val="Arial"/>
        <family val="2"/>
      </rPr>
      <t xml:space="preserve"> </t>
    </r>
  </si>
  <si>
    <t>4" MW/RW Abandonment per foot overdrill</t>
  </si>
  <si>
    <t>2" MW/RW Abandonment per foot overdrill</t>
  </si>
  <si>
    <t>ARBCA GRP Well Additions &gt;4 per well</t>
  </si>
  <si>
    <t>/assessment</t>
  </si>
  <si>
    <t>ADEM Approved Amount</t>
  </si>
  <si>
    <t>Unit Rate GRP Re Assessment</t>
  </si>
  <si>
    <t>Unit Rate GRP Additional Wells 1-4</t>
  </si>
  <si>
    <t>General NPDES Application Preparation</t>
  </si>
  <si>
    <t>ADEM Solid Waste Profile Preparation</t>
  </si>
  <si>
    <t>Environmental Covenant Preparation</t>
  </si>
  <si>
    <t>UIC General Permit Application Preparation</t>
  </si>
  <si>
    <t>NPDES General Permit Application Preparation</t>
  </si>
  <si>
    <t>GRP Well Assessment</t>
  </si>
  <si>
    <t>GRP Well 1-4</t>
  </si>
  <si>
    <t>GRP Well &gt;4</t>
  </si>
  <si>
    <t>General NPDES/UIC Permit Application</t>
  </si>
  <si>
    <t>Unit Rate NPDES/UIC Permit Preparation</t>
  </si>
  <si>
    <t>UIC General Permit</t>
  </si>
  <si>
    <t>Personnel Travel Time (entered in Hours)</t>
  </si>
  <si>
    <t>Email address:</t>
  </si>
  <si>
    <t>ARBCA GRP Re Assessment(1-4 wells Diesel)</t>
  </si>
  <si>
    <t>ARBCA GRP Re Assessment (1-4 wells Diesel)</t>
  </si>
  <si>
    <t>Project oversight</t>
  </si>
  <si>
    <t>Project Review</t>
  </si>
  <si>
    <t>Assesment Report data entry</t>
  </si>
  <si>
    <t>Assessment Report data entry</t>
  </si>
  <si>
    <t>ARBCA GRP Re Assessment (1-4 wells, Diesel)</t>
  </si>
  <si>
    <t>This page should be submitted whenever per diem is being claimed.</t>
  </si>
  <si>
    <t xml:space="preserve">Maximum allowable rates are referenced on the "Maximum Rates" Tab in this document.                                      </t>
  </si>
  <si>
    <t>Points of</t>
  </si>
  <si>
    <t>x</t>
  </si>
  <si>
    <t xml:space="preserve">Projected </t>
  </si>
  <si>
    <t>Actual Date</t>
  </si>
  <si>
    <t>Traveled</t>
  </si>
  <si>
    <t xml:space="preserve">Traveled </t>
  </si>
  <si>
    <t>ARBCA adder for Diesel &gt; number of allocated wells</t>
  </si>
  <si>
    <t>ARBCA adder for Tier II WITH DECAY</t>
  </si>
  <si>
    <t>ARBCA GRP Re Assessment(1-4 wells Gas)</t>
  </si>
  <si>
    <t>ARBCA adder for Gas &gt; number of allocated wells</t>
  </si>
  <si>
    <t>ISCO or Bioremediation Pilot Test Plan</t>
  </si>
  <si>
    <t>ISCO or Bioremediation Pilot Test Report</t>
  </si>
  <si>
    <t>RW Vault Abandonment Oversight</t>
  </si>
  <si>
    <t>7 If costs are to exceed this amount a detailed quote should be included and costs listed below or on "Form D"</t>
  </si>
  <si>
    <t>ARBCA GRP Re Assessment (1-4 wells Gas)</t>
  </si>
  <si>
    <t>Corrective Action Plan Evaluation</t>
  </si>
  <si>
    <t>ARBCA GRP Re Assessment (1-4 wells, Gas)</t>
  </si>
  <si>
    <r>
      <t xml:space="preserve">Emergency Response </t>
    </r>
    <r>
      <rPr>
        <b/>
        <sz val="10"/>
        <rFont val="Arial"/>
        <family val="2"/>
      </rPr>
      <t>(written ADEM approval is required, up to 3 field days)</t>
    </r>
  </si>
  <si>
    <t>Description of Site Activities (written ADEM approval is required, up to 3 field days)</t>
  </si>
  <si>
    <t xml:space="preserve">Per diem allowed for Alabama Tank Trust Fund Contractor Personnel Only                                                                        Maximum allowable rates are referenced on the "Maximum Rates" Tab in this document.                                      </t>
  </si>
  <si>
    <t xml:space="preserve">The below items are for reference only. They are incorporated into Forms "A" &amp; "B" above. </t>
  </si>
  <si>
    <t>Use this form to list hours where a Unit Rate is not available, NOT FOR ADDING HOURS TO UNITS         Detailed description of activities must be entered where hours are claimed</t>
  </si>
  <si>
    <t>Activity</t>
  </si>
  <si>
    <t>To Be</t>
  </si>
  <si>
    <t>Performed</t>
  </si>
  <si>
    <t xml:space="preserve"> CAP Modification</t>
  </si>
  <si>
    <t xml:space="preserve">Part II- Alabama Tank Trust Fund Itemization Form "F" Cost Proposal     </t>
  </si>
  <si>
    <t xml:space="preserve">Part II- Alabama Tank Trust Fund Itemization Form "F" Cost Proposal </t>
  </si>
  <si>
    <t>"PR" Number of Samples</t>
  </si>
  <si>
    <t>Actual Amount Per Sample</t>
  </si>
  <si>
    <t>High Resolution Fieldwork and Oversight (per day)</t>
  </si>
  <si>
    <t>Personnel Rates</t>
  </si>
  <si>
    <t>(PE/PG in office for oversight, no travel)</t>
  </si>
  <si>
    <t xml:space="preserve">Internal scheduling, contact vendors (quotes, scheduling, </t>
  </si>
  <si>
    <t>waste management), entire project oversite, CP/PR</t>
  </si>
  <si>
    <t>Copy, sort, bind, mail documents, CP/PR</t>
  </si>
  <si>
    <t>Total Project oversight, Waste Management, Cost Proposal prep</t>
  </si>
  <si>
    <t>High Resolution Imaging Field Time and Oversight</t>
  </si>
  <si>
    <t xml:space="preserve">High Resolution Imaging Field Time and Oversight </t>
  </si>
  <si>
    <r>
      <t>Mileage (drilling device driven or ATV) (</t>
    </r>
    <r>
      <rPr>
        <b/>
        <sz val="10"/>
        <rFont val="Arial"/>
        <family val="2"/>
      </rPr>
      <t>ONE WAY</t>
    </r>
    <r>
      <rPr>
        <sz val="10"/>
        <rFont val="Arial"/>
        <family val="2"/>
      </rPr>
      <t xml:space="preserve"> mileage up to 450 miles) </t>
    </r>
    <r>
      <rPr>
        <vertAlign val="superscript"/>
        <sz val="10"/>
        <rFont val="Arial"/>
        <family val="2"/>
      </rPr>
      <t>1</t>
    </r>
  </si>
  <si>
    <r>
      <t>Mileage (drilling device "hauled" to the site)(</t>
    </r>
    <r>
      <rPr>
        <b/>
        <sz val="10"/>
        <rFont val="Arial"/>
        <family val="2"/>
      </rPr>
      <t>ONE WAY</t>
    </r>
    <r>
      <rPr>
        <sz val="10"/>
        <rFont val="Arial"/>
        <family val="2"/>
      </rPr>
      <t xml:space="preserve"> mileage up to 450 miles)</t>
    </r>
    <r>
      <rPr>
        <vertAlign val="superscript"/>
        <sz val="10"/>
        <rFont val="Arial"/>
        <family val="2"/>
      </rPr>
      <t xml:space="preserve"> 1</t>
    </r>
  </si>
  <si>
    <r>
      <t xml:space="preserve">Mileage </t>
    </r>
    <r>
      <rPr>
        <sz val="8"/>
        <rFont val="Arial"/>
        <family val="2"/>
      </rPr>
      <t xml:space="preserve">(drilling device driven or ATV) (up to 450 </t>
    </r>
    <r>
      <rPr>
        <b/>
        <sz val="10"/>
        <rFont val="Arial"/>
        <family val="2"/>
      </rPr>
      <t xml:space="preserve">one way </t>
    </r>
    <r>
      <rPr>
        <sz val="8"/>
        <rFont val="Arial"/>
        <family val="2"/>
      </rPr>
      <t xml:space="preserve">miles) </t>
    </r>
    <r>
      <rPr>
        <vertAlign val="superscript"/>
        <sz val="8"/>
        <rFont val="Arial"/>
        <family val="2"/>
      </rPr>
      <t>1</t>
    </r>
  </si>
  <si>
    <r>
      <t xml:space="preserve">Mileage </t>
    </r>
    <r>
      <rPr>
        <sz val="8"/>
        <rFont val="Arial"/>
        <family val="2"/>
      </rPr>
      <t xml:space="preserve">(drilling device "hauled" to the site)(up to 450 </t>
    </r>
    <r>
      <rPr>
        <b/>
        <sz val="10"/>
        <rFont val="Arial"/>
        <family val="2"/>
      </rPr>
      <t>one way</t>
    </r>
    <r>
      <rPr>
        <sz val="8"/>
        <rFont val="Arial"/>
        <family val="2"/>
      </rPr>
      <t xml:space="preserve"> miles) </t>
    </r>
    <r>
      <rPr>
        <vertAlign val="superscript"/>
        <sz val="8"/>
        <rFont val="Arial"/>
        <family val="2"/>
      </rPr>
      <t>1</t>
    </r>
  </si>
  <si>
    <t xml:space="preserve">*Rates can be adjusted down </t>
  </si>
  <si>
    <t>1)Increased Labor Rates</t>
  </si>
  <si>
    <t>2)Increased Drilling Mileage Range</t>
  </si>
  <si>
    <t>3)High Resolution Imaging Field Time Unit Rate</t>
  </si>
  <si>
    <r>
      <t xml:space="preserve">- Forms to be submitted remain as visible tabs once View Summary is selected </t>
    </r>
    <r>
      <rPr>
        <sz val="8"/>
        <rFont val="Arial"/>
        <family val="2"/>
      </rPr>
      <t>(to help with digital copies)</t>
    </r>
  </si>
  <si>
    <r>
      <t>- Return to Entire CP/PR button reveals all tabs</t>
    </r>
    <r>
      <rPr>
        <sz val="8"/>
        <rFont val="Arial"/>
        <family val="2"/>
      </rPr>
      <t xml:space="preserve"> (possibly needed after View Summary is selected)</t>
    </r>
  </si>
  <si>
    <t>1)Per Diem rate increases</t>
  </si>
  <si>
    <t>Porous</t>
  </si>
  <si>
    <t>Bedrock</t>
  </si>
  <si>
    <t>Review Permit, notify local authority CP/PR</t>
  </si>
  <si>
    <t>Review Permit CP/PR</t>
  </si>
  <si>
    <r>
      <t xml:space="preserve">M3 DRAFT </t>
    </r>
    <r>
      <rPr>
        <sz val="8"/>
        <rFont val="Arial"/>
        <family val="2"/>
      </rPr>
      <t>(07/2018)</t>
    </r>
  </si>
  <si>
    <r>
      <t xml:space="preserve">M2 DRAFT </t>
    </r>
    <r>
      <rPr>
        <sz val="8"/>
        <rFont val="Arial"/>
        <family val="2"/>
      </rPr>
      <t>(03/2018)</t>
    </r>
  </si>
  <si>
    <t>('Form "B" Field'!G81)+IF('Form "B" Field'!G82&lt;&gt;"",'Form "B" Field'!G82,0)+IF('Form "B" Field'!G83&lt;&gt;"",'Form "B" Field'!G83,0)</t>
  </si>
  <si>
    <t xml:space="preserve">ALABAMA TANK TRUST FUND </t>
  </si>
  <si>
    <t>Payment Request Review</t>
  </si>
  <si>
    <t>1. Payment Request Number</t>
  </si>
  <si>
    <t>Invoice #</t>
  </si>
  <si>
    <t>3. Incident Number</t>
  </si>
  <si>
    <t>4. Facility Name</t>
  </si>
  <si>
    <t>5. Contractor Name:</t>
  </si>
  <si>
    <t>6. Activity or activities for which payment is requested</t>
  </si>
  <si>
    <t>7. Cost Proposal Approved Amount</t>
  </si>
  <si>
    <t>$</t>
  </si>
  <si>
    <t xml:space="preserve"> + Cost Proposal Addendum</t>
  </si>
  <si>
    <t>Total Cost Proposal</t>
  </si>
  <si>
    <t>8. Payment Request Amount</t>
  </si>
  <si>
    <t>9. Status of Review</t>
  </si>
  <si>
    <t>Reductions made in the amount of</t>
  </si>
  <si>
    <t>10. Payment Request received by P&amp;S</t>
  </si>
  <si>
    <t xml:space="preserve">11. Payment Request reviewed by </t>
  </si>
  <si>
    <t>Review Comments</t>
  </si>
  <si>
    <t>Site Stabilization</t>
  </si>
  <si>
    <t>[    ]</t>
  </si>
  <si>
    <t>Corrective Action Plan</t>
  </si>
  <si>
    <t>Partially Approved</t>
  </si>
  <si>
    <t>Less $5,000 UST (if applicable)</t>
  </si>
  <si>
    <t>Less $10,000 AST (if applicable)</t>
  </si>
  <si>
    <t>Amount of request denied</t>
  </si>
  <si>
    <t>APPROVED PAYMENT AMOUNT</t>
  </si>
  <si>
    <t>2. Facility I.D. Number:</t>
  </si>
  <si>
    <t>UIC General Permit Application Renewal</t>
  </si>
  <si>
    <t>General NPDES Application Renewal</t>
  </si>
  <si>
    <t>/renewal</t>
  </si>
  <si>
    <t>NPDES General Permit Application Renewal</t>
  </si>
  <si>
    <r>
      <t xml:space="preserve">M3 </t>
    </r>
    <r>
      <rPr>
        <sz val="8"/>
        <rFont val="Arial"/>
        <family val="2"/>
      </rPr>
      <t>(08/2019)</t>
    </r>
  </si>
  <si>
    <t>General NPDES/UIC Permit Application Renewal</t>
  </si>
  <si>
    <t>General NPDES/UIC app prep renewal</t>
  </si>
  <si>
    <t>Unit Rate NPDES/UIC Permit Preparation Renewal</t>
  </si>
  <si>
    <t>I have personally examined and am familiar with the information submitted in this payment request and all attachments and that, based on my inquiry of those persons immediately responsible for obtaining the information contained in this payment request, I certify that the information is true, accurate, and complete, and that this payment request does not duplicate any request for payment for any charge previously submitted to the Department.</t>
  </si>
  <si>
    <t xml:space="preserve">I certify to the best of my knowledge and belief: that the costs presented herein represent actual costs incurred in the performance of response actions related to this site during the period of time indicated on this application; and that no charges are presented as part of this application that did not result from the performance of response actions which were necessary due to the release of motor fuels at this site.                                                                                                                                                           </t>
  </si>
  <si>
    <t>1) 10% Labor Rate Increase</t>
  </si>
  <si>
    <t>2) 10% Equipment Rate Increase</t>
  </si>
  <si>
    <t>1) Drilling Rate Increase</t>
  </si>
  <si>
    <t>2) Removed Owner tax number</t>
  </si>
  <si>
    <t>Drilling Device Driven (6 x's mileage rate)</t>
  </si>
  <si>
    <t>Drilling Device Hauled (3 x's mileage rate)</t>
  </si>
  <si>
    <t>Number of Mobilizations (includes $300 mob/demob amount)</t>
  </si>
  <si>
    <r>
      <t>Number of Mobilizations</t>
    </r>
    <r>
      <rPr>
        <sz val="8"/>
        <rFont val="Arial"/>
        <family val="2"/>
      </rPr>
      <t xml:space="preserve"> (Includes $300 Mob/Demob amount)</t>
    </r>
  </si>
  <si>
    <r>
      <t xml:space="preserve">    (remove well casing to approximately 3' and fill remainder) </t>
    </r>
    <r>
      <rPr>
        <vertAlign val="superscript"/>
        <sz val="10"/>
        <rFont val="Arial"/>
        <family val="2"/>
      </rPr>
      <t>3</t>
    </r>
    <r>
      <rPr>
        <sz val="10"/>
        <rFont val="Arial"/>
        <family val="2"/>
      </rPr>
      <t xml:space="preserve"> </t>
    </r>
  </si>
  <si>
    <r>
      <t xml:space="preserve">MINIMUM AMOUNT OF $3,000 ADJUSTED </t>
    </r>
    <r>
      <rPr>
        <b/>
        <vertAlign val="superscript"/>
        <sz val="10"/>
        <rFont val="Arial"/>
        <family val="2"/>
      </rPr>
      <t>8</t>
    </r>
  </si>
  <si>
    <t>8 The sum of the amounts for drilling activities will be a minimum of $3,000</t>
  </si>
  <si>
    <t>8 The sum of the amounts for Drilling Activities will be a minimum of $3,000</t>
  </si>
  <si>
    <t>1)Fixed Error on Drilling Sheet</t>
  </si>
  <si>
    <r>
      <t>MW/RW Pad Removal (if pad removed)</t>
    </r>
    <r>
      <rPr>
        <vertAlign val="superscript"/>
        <sz val="10"/>
        <rFont val="Arial"/>
        <family val="2"/>
      </rPr>
      <t>6</t>
    </r>
  </si>
  <si>
    <t>Beginning</t>
  </si>
  <si>
    <t>Completed</t>
  </si>
  <si>
    <t>2) Dates Work Performed</t>
  </si>
  <si>
    <t>1)Regulatory Update-Signatures</t>
  </si>
  <si>
    <t>The selection to the left will result in a check written to the owner or operator.</t>
  </si>
  <si>
    <t>The selection to the left  will result in a check written to the contractor.</t>
  </si>
  <si>
    <t>I.6 This Scope of Work was Performed:</t>
  </si>
  <si>
    <t>I.7 Activity Information:</t>
  </si>
  <si>
    <t>I.8 Subcontractor Information:</t>
  </si>
  <si>
    <t>I.9  Certification of Payment for Payment Request :</t>
  </si>
  <si>
    <t>I.10 Certification of Payment Request Information:</t>
  </si>
  <si>
    <t>I.11 Trust Fund Obligation Information:</t>
  </si>
  <si>
    <t>I.12 Payment Request Amount:</t>
  </si>
  <si>
    <t>I.13 ADEM Approval Signatures:</t>
  </si>
  <si>
    <t>Owner/Operator Printed Name and Title:</t>
  </si>
  <si>
    <t>Owner/Operator Signature:</t>
  </si>
  <si>
    <t>Contractor Signature:</t>
  </si>
  <si>
    <t>Contractor Printed Name and Title:</t>
  </si>
  <si>
    <t>Signature(s) must be provided below or in AEPACs for this request to be processed</t>
  </si>
  <si>
    <t>Owner/OperatorSignature:</t>
  </si>
  <si>
    <t>I authorize this Cost Proposal amount for corrective action activities to be conducted at this site, and I certify that I  have personally examined and am familiar with the information submitted in this and all attached documents and that based on those individuals immediately responsible for obtaining the information, I believe that the submitted information is true, accurate, and complete.</t>
  </si>
  <si>
    <t>I.8 Trust Fund Obligation Information:</t>
  </si>
  <si>
    <t>I.9 Cost Proposal Amount</t>
  </si>
  <si>
    <t>A signature must be provided below or in AEPACs for this proposal to be processed.</t>
  </si>
  <si>
    <t>I.7 Cost Proposal- Owner/Operator/Contractor Signature</t>
  </si>
  <si>
    <t xml:space="preserve">The Payment request must be dated and signed with an original signature by the owner, operator, or the project manager of the contracting firm responsible for performance of response actions where applicable.   Alternatively the Payment Request  may  be "signed" in the appropriate schedule in AEPACs.                                                                                                      </t>
  </si>
  <si>
    <t>1) Heading for Summary Page fix</t>
  </si>
  <si>
    <r>
      <t xml:space="preserve">M4 DRAFT </t>
    </r>
    <r>
      <rPr>
        <sz val="8"/>
        <rFont val="Arial"/>
        <family val="2"/>
      </rPr>
      <t>(07/2022)</t>
    </r>
  </si>
  <si>
    <t>M5 DRAFT (1/2023)</t>
  </si>
  <si>
    <t>M6 DRAFT (2/2023)</t>
  </si>
  <si>
    <t>M7 DRAFT (2/2024)</t>
  </si>
  <si>
    <t>M7 DRAFT (3/2024)</t>
  </si>
  <si>
    <t>Terracore Samplers</t>
  </si>
  <si>
    <r>
      <t xml:space="preserve">Air Samples </t>
    </r>
    <r>
      <rPr>
        <b/>
        <sz val="8"/>
        <rFont val="Arial"/>
        <family val="2"/>
      </rPr>
      <t>(Tedlar Bag)</t>
    </r>
    <r>
      <rPr>
        <b/>
        <sz val="10"/>
        <rFont val="Arial"/>
        <family val="2"/>
      </rPr>
      <t xml:space="preserve">                8260</t>
    </r>
  </si>
  <si>
    <t>TCLP/SPLP (Extraction)</t>
  </si>
  <si>
    <t xml:space="preserve">Samplers </t>
  </si>
  <si>
    <t>Encore</t>
  </si>
  <si>
    <t>Terracore</t>
  </si>
  <si>
    <t>Samplers</t>
  </si>
  <si>
    <t>1)Personnel Rate Increase</t>
  </si>
  <si>
    <t xml:space="preserve">Lead </t>
  </si>
  <si>
    <t>8015D;8260</t>
  </si>
  <si>
    <t>Per Diem Overnight Hotel Amount</t>
  </si>
  <si>
    <t>*M9 Draft</t>
  </si>
  <si>
    <t>*M9 DRAFT</t>
  </si>
  <si>
    <t>M8 DRAFT (8/2024)</t>
  </si>
  <si>
    <t>2) Consultant Tax ID Removed</t>
  </si>
  <si>
    <t>/night</t>
  </si>
  <si>
    <t>Per Diem Overnight Meal and Incidentals</t>
  </si>
  <si>
    <t>Per Diem (overnight hotel) (per night)(hotel receipts required)</t>
  </si>
  <si>
    <t>Per Diem (overnight) (per night)(hotel receipts required)</t>
  </si>
  <si>
    <t>Per Diem (overnight) Meals and Incidentals (per day)</t>
  </si>
  <si>
    <t>1)Per Diem Amounts Adjusted</t>
  </si>
  <si>
    <t>Per Diem Daily (6-12hrs)</t>
  </si>
  <si>
    <t>Per Diem Daily (greater than 12hrs)</t>
  </si>
  <si>
    <t>Per Diem Hotel Rate (overnight only, receipts required)</t>
  </si>
  <si>
    <r>
      <t>Per Diem Overnight (Daily Meals and Incidentals) (per day</t>
    </r>
    <r>
      <rPr>
        <sz val="9"/>
        <rFont val="Arial"/>
        <family val="2"/>
      </rPr>
      <t>)</t>
    </r>
  </si>
  <si>
    <t>Per Diem Overnight (Daily Meals and Incidentals)(per day)</t>
  </si>
  <si>
    <t>Per Diem Hotel Rate (overnight only, reciepts required)</t>
  </si>
  <si>
    <t>Total number of overnight daily</t>
  </si>
  <si>
    <t xml:space="preserve">Total number of ext. daily </t>
  </si>
  <si>
    <t>Total Overnight Hotel Stays</t>
  </si>
  <si>
    <t>Total number of daily</t>
  </si>
  <si>
    <t>Total number of ext. daily</t>
  </si>
  <si>
    <t xml:space="preserve">Total number of daily </t>
  </si>
  <si>
    <t>System Decommissioning (Oversight)</t>
  </si>
  <si>
    <t>average of overnight receipt amounts</t>
  </si>
  <si>
    <r>
      <t xml:space="preserve">Alabama Tank Trust Fund Maximum Allowable Rates                  </t>
    </r>
    <r>
      <rPr>
        <b/>
        <sz val="14"/>
        <rFont val="Arial"/>
        <family val="2"/>
      </rPr>
      <t xml:space="preserve"> 2/2025</t>
    </r>
  </si>
  <si>
    <t>Overnight Hotel Stay, Receipts Required (up to $150/night)</t>
  </si>
  <si>
    <t>Daily Per Diem for Overnight Stay ($68/day)</t>
  </si>
  <si>
    <t>Extended Daily Per Diem for &gt;12hrs, no overnight ($47/day)</t>
  </si>
  <si>
    <t>Daily Per Diem for 6-12hrs ($19/day)</t>
  </si>
  <si>
    <t>Daily Per Diem for 6-12 hrs ($19/day)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</si>
</sst>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m/d/yy;@"/>
    <numFmt numFmtId="167" formatCode=";;;"/>
    <numFmt numFmtId="168" formatCode="0.0"/>
    <numFmt numFmtId="169" formatCode="m/yyyy"/>
    <numFmt numFmtId="170" formatCode="&quot;$&quot;#,##0.000"/>
    <numFmt numFmtId="171" formatCode="0;\-0;;@"/>
    <numFmt numFmtId="172" formatCode="mm/dd/yy;@"/>
    <numFmt numFmtId="173" formatCode="[$-409]h:mm\ AM/PM;@"/>
  </numFmts>
  <fonts count="80" x14ac:knownFonts="1">
    <font>
      <sz val="10"/>
      <name val="Arial"/>
    </font>
    <font>
      <sz val="10"/>
      <name val="Arial"/>
      <family val="2"/>
    </font>
    <font>
      <sz val="20"/>
      <name val="Arial"/>
      <family val="2"/>
    </font>
    <font>
      <sz val="14"/>
      <name val="Arial"/>
      <family val="2"/>
    </font>
    <font>
      <sz val="8"/>
      <name val="Arial"/>
      <family val="2"/>
    </font>
    <font>
      <b/>
      <sz val="10"/>
      <name val="Arial"/>
      <family val="2"/>
    </font>
    <font>
      <b/>
      <sz val="12"/>
      <name val="Arial"/>
      <family val="2"/>
    </font>
    <font>
      <sz val="8"/>
      <name val="Verdana"/>
      <family val="2"/>
    </font>
    <font>
      <sz val="14"/>
      <name val="Calibri"/>
      <family val="2"/>
    </font>
    <font>
      <sz val="10"/>
      <name val="Arial"/>
      <family val="2"/>
    </font>
    <font>
      <b/>
      <sz val="14"/>
      <name val="Arial"/>
      <family val="2"/>
    </font>
    <font>
      <b/>
      <sz val="20"/>
      <name val="Arial"/>
      <family val="2"/>
    </font>
    <font>
      <b/>
      <sz val="18"/>
      <name val="Arial"/>
      <family val="2"/>
    </font>
    <font>
      <sz val="12"/>
      <name val="Arial"/>
      <family val="2"/>
    </font>
    <font>
      <sz val="8"/>
      <name val="Arial"/>
      <family val="2"/>
    </font>
    <font>
      <b/>
      <sz val="8"/>
      <name val="Arial"/>
      <family val="2"/>
    </font>
    <font>
      <b/>
      <sz val="9"/>
      <name val="Arial"/>
      <family val="2"/>
    </font>
    <font>
      <sz val="10"/>
      <color indexed="9"/>
      <name val="Arial"/>
      <family val="2"/>
    </font>
    <font>
      <sz val="10"/>
      <color indexed="44"/>
      <name val="Arial"/>
      <family val="2"/>
    </font>
    <font>
      <sz val="10"/>
      <name val="Arial"/>
      <family val="2"/>
    </font>
    <font>
      <sz val="10"/>
      <color indexed="9"/>
      <name val="Arial"/>
      <family val="2"/>
    </font>
    <font>
      <sz val="8"/>
      <name val="Arial"/>
      <family val="2"/>
    </font>
    <font>
      <sz val="10"/>
      <color indexed="51"/>
      <name val="Arial"/>
      <family val="2"/>
    </font>
    <font>
      <sz val="22"/>
      <color indexed="51"/>
      <name val="Arial"/>
      <family val="2"/>
    </font>
    <font>
      <b/>
      <sz val="10"/>
      <name val="Arial"/>
      <family val="2"/>
    </font>
    <font>
      <sz val="18"/>
      <color indexed="9"/>
      <name val="Arial"/>
      <family val="2"/>
    </font>
    <font>
      <sz val="9"/>
      <name val="Arial"/>
      <family val="2"/>
    </font>
    <font>
      <b/>
      <sz val="11"/>
      <name val="Arial"/>
      <family val="2"/>
    </font>
    <font>
      <sz val="11"/>
      <name val="Arial"/>
      <family val="2"/>
    </font>
    <font>
      <b/>
      <u/>
      <sz val="14"/>
      <name val="Arial"/>
      <family val="2"/>
    </font>
    <font>
      <sz val="12"/>
      <name val="Arial"/>
      <family val="2"/>
    </font>
    <font>
      <vertAlign val="superscript"/>
      <sz val="10"/>
      <name val="Arial"/>
      <family val="2"/>
    </font>
    <font>
      <sz val="16"/>
      <name val="Arial"/>
      <family val="2"/>
    </font>
    <font>
      <b/>
      <u/>
      <sz val="11"/>
      <color indexed="8"/>
      <name val="Arial"/>
      <family val="2"/>
    </font>
    <font>
      <b/>
      <sz val="11"/>
      <color indexed="8"/>
      <name val="Arial"/>
      <family val="2"/>
    </font>
    <font>
      <u/>
      <sz val="11"/>
      <color indexed="8"/>
      <name val="Arial"/>
      <family val="2"/>
    </font>
    <font>
      <b/>
      <u/>
      <sz val="12"/>
      <color indexed="8"/>
      <name val="Arial"/>
      <family val="2"/>
    </font>
    <font>
      <i/>
      <sz val="12"/>
      <name val="Arial"/>
      <family val="2"/>
    </font>
    <font>
      <sz val="12"/>
      <color indexed="9"/>
      <name val="Arial"/>
      <family val="2"/>
    </font>
    <font>
      <sz val="12"/>
      <color indexed="22"/>
      <name val="Arial"/>
      <family val="2"/>
    </font>
    <font>
      <i/>
      <sz val="11"/>
      <name val="Arial"/>
      <family val="2"/>
    </font>
    <font>
      <i/>
      <u/>
      <sz val="11"/>
      <name val="Arial"/>
      <family val="2"/>
    </font>
    <font>
      <b/>
      <u/>
      <sz val="11"/>
      <name val="Arial"/>
      <family val="2"/>
    </font>
    <font>
      <b/>
      <sz val="12"/>
      <color indexed="8"/>
      <name val="Arial"/>
      <family val="2"/>
    </font>
    <font>
      <b/>
      <sz val="10"/>
      <color indexed="8"/>
      <name val="Arial"/>
      <family val="2"/>
    </font>
    <font>
      <sz val="11"/>
      <color indexed="8"/>
      <name val="Arial"/>
      <family val="2"/>
    </font>
    <font>
      <b/>
      <sz val="11"/>
      <color theme="1"/>
      <name val="Calibri"/>
      <family val="2"/>
      <scheme val="minor"/>
    </font>
    <font>
      <b/>
      <u/>
      <sz val="11"/>
      <color theme="0"/>
      <name val="Arial"/>
      <family val="2"/>
    </font>
    <font>
      <b/>
      <sz val="12"/>
      <color theme="1"/>
      <name val="Calibri"/>
      <family val="2"/>
      <scheme val="minor"/>
    </font>
    <font>
      <sz val="10"/>
      <color theme="0"/>
      <name val="Arial"/>
      <family val="2"/>
    </font>
    <font>
      <sz val="8"/>
      <color theme="0"/>
      <name val="Arial"/>
      <family val="2"/>
    </font>
    <font>
      <sz val="12"/>
      <color theme="0" tint="-0.249977111117893"/>
      <name val="Arial"/>
      <family val="2"/>
    </font>
    <font>
      <sz val="10"/>
      <color theme="0" tint="-0.249977111117893"/>
      <name val="Arial"/>
      <family val="2"/>
    </font>
    <font>
      <b/>
      <sz val="12"/>
      <color theme="0" tint="-0.249977111117893"/>
      <name val="Arial"/>
      <family val="2"/>
    </font>
    <font>
      <vertAlign val="superscript"/>
      <sz val="8"/>
      <name val="Arial"/>
      <family val="2"/>
    </font>
    <font>
      <b/>
      <sz val="16"/>
      <name val="Arial"/>
      <family val="2"/>
    </font>
    <font>
      <sz val="10"/>
      <color theme="1"/>
      <name val="Arial"/>
      <family val="2"/>
    </font>
    <font>
      <sz val="14"/>
      <color indexed="8"/>
      <name val="Arial"/>
      <family val="2"/>
    </font>
    <font>
      <u/>
      <sz val="10"/>
      <color theme="10"/>
      <name val="Arial"/>
      <family val="2"/>
    </font>
    <font>
      <b/>
      <i/>
      <sz val="9"/>
      <name val="Arial"/>
      <family val="2"/>
    </font>
    <font>
      <sz val="10"/>
      <color rgb="FF000000"/>
      <name val="Arial"/>
      <family val="2"/>
    </font>
    <font>
      <b/>
      <sz val="12"/>
      <color theme="1"/>
      <name val="Arial"/>
      <family val="2"/>
    </font>
    <font>
      <b/>
      <sz val="11"/>
      <name val="Calibri"/>
      <family val="2"/>
      <scheme val="minor"/>
    </font>
    <font>
      <sz val="12"/>
      <color theme="0"/>
      <name val="Arial"/>
      <family val="2"/>
    </font>
    <font>
      <sz val="10"/>
      <color rgb="FF0070C0"/>
      <name val="Arial"/>
      <family val="2"/>
    </font>
    <font>
      <sz val="10"/>
      <color rgb="FFFF0000"/>
      <name val="Arial"/>
      <family val="2"/>
    </font>
    <font>
      <sz val="8"/>
      <color rgb="FFFF0000"/>
      <name val="Arial"/>
      <family val="2"/>
    </font>
    <font>
      <sz val="14"/>
      <color theme="1"/>
      <name val="Calibri"/>
      <family val="2"/>
      <scheme val="minor"/>
    </font>
    <font>
      <sz val="12"/>
      <color theme="1"/>
      <name val="Calibri"/>
      <family val="2"/>
      <scheme val="minor"/>
    </font>
    <font>
      <sz val="9"/>
      <color theme="1"/>
      <name val="Cambria"/>
      <family val="2"/>
      <scheme val="major"/>
    </font>
    <font>
      <b/>
      <vertAlign val="superscript"/>
      <sz val="10"/>
      <name val="Arial"/>
      <family val="2"/>
    </font>
    <font>
      <b/>
      <sz val="11.5"/>
      <name val="Arial"/>
      <family val="2"/>
    </font>
    <font>
      <sz val="10"/>
      <name val="Arial"/>
      <family val="2"/>
    </font>
    <font>
      <sz val="8"/>
      <name val="Calibri"/>
      <family val="2"/>
    </font>
    <font>
      <sz val="10"/>
      <name val="Calibri"/>
      <family val="2"/>
    </font>
    <font>
      <b/>
      <sz val="8"/>
      <color theme="1"/>
      <name val="Calibri"/>
      <family val="2"/>
    </font>
    <font>
      <b/>
      <sz val="8"/>
      <color theme="1"/>
      <name val="Arial"/>
      <family val="2"/>
    </font>
    <font>
      <sz val="8"/>
      <color theme="1"/>
      <name val="Arial"/>
      <family val="2"/>
    </font>
    <font>
      <b/>
      <sz val="10"/>
      <color theme="1"/>
      <name val="Arial"/>
      <family val="2"/>
    </font>
    <font>
      <sz val="10"/>
      <color theme="9" tint="-0.249977111117893"/>
      <name val="Arial"/>
      <family val="2"/>
    </font>
  </fonts>
  <fills count="27">
    <fill>
      <patternFill patternType="none"/>
    </fill>
    <fill>
      <patternFill patternType="gray125"/>
    </fill>
    <fill>
      <patternFill patternType="solid">
        <fgColor indexed="46"/>
        <bgColor indexed="64"/>
      </patternFill>
    </fill>
    <fill>
      <patternFill patternType="solid">
        <fgColor indexed="47"/>
        <bgColor indexed="64"/>
      </patternFill>
    </fill>
    <fill>
      <patternFill patternType="solid">
        <fgColor indexed="22"/>
        <bgColor indexed="64"/>
      </patternFill>
    </fill>
    <fill>
      <patternFill patternType="gray0625"/>
    </fill>
    <fill>
      <patternFill patternType="solid">
        <fgColor rgb="FFCCFFCC"/>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A9D5AB"/>
        <bgColor indexed="64"/>
      </patternFill>
    </fill>
    <fill>
      <patternFill patternType="solid">
        <fgColor theme="0" tint="-0.14999847407452621"/>
        <bgColor indexed="64"/>
      </patternFill>
    </fill>
    <fill>
      <patternFill patternType="solid">
        <fgColor rgb="FFCC99FF"/>
        <bgColor indexed="64"/>
      </patternFill>
    </fill>
    <fill>
      <patternFill patternType="solid">
        <fgColor rgb="FFFFCC99"/>
        <bgColor indexed="64"/>
      </patternFill>
    </fill>
    <fill>
      <patternFill patternType="gray125">
        <bgColor theme="0"/>
      </patternFill>
    </fill>
    <fill>
      <patternFill patternType="solid">
        <fgColor rgb="FFFFFF00"/>
        <bgColor indexed="64"/>
      </patternFill>
    </fill>
    <fill>
      <patternFill patternType="solid">
        <fgColor indexed="10"/>
        <bgColor indexed="64"/>
      </patternFill>
    </fill>
    <fill>
      <patternFill patternType="solid">
        <fgColor indexed="11"/>
        <bgColor indexed="64"/>
      </patternFill>
    </fill>
  </fills>
  <borders count="9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s>
  <cellStyleXfs count="10">
    <xf numFmtId="0" fontId="0" fillId="0" borderId="0"/>
    <xf numFmtId="44" fontId="1" fillId="0" borderId="0" applyFon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58" fillId="0" borderId="0" applyNumberFormat="0" applyFill="0" applyBorder="0" applyAlignment="0" applyProtection="0">
      <alignment vertical="top"/>
      <protection locked="0"/>
    </xf>
    <xf numFmtId="9" fontId="72" fillId="0" borderId="0" applyFont="0" applyFill="0" applyBorder="0" applyAlignment="0" applyProtection="0"/>
  </cellStyleXfs>
  <cellXfs count="2542">
    <xf numFmtId="0" fontId="0" fillId="0" borderId="0" xfId="0"/>
    <xf numFmtId="0" fontId="2" fillId="0" borderId="0" xfId="0" applyFont="1"/>
    <xf numFmtId="0" fontId="5" fillId="0" borderId="0" xfId="0" applyFont="1"/>
    <xf numFmtId="164" fontId="0" fillId="0" borderId="0" xfId="0" applyNumberFormat="1"/>
    <xf numFmtId="0" fontId="0" fillId="2" borderId="1" xfId="0" applyFill="1" applyBorder="1"/>
    <xf numFmtId="164" fontId="0" fillId="3" borderId="4" xfId="0" applyNumberFormat="1" applyFill="1" applyBorder="1"/>
    <xf numFmtId="164" fontId="1" fillId="3" borderId="4" xfId="0" applyNumberFormat="1" applyFont="1" applyFill="1" applyBorder="1"/>
    <xf numFmtId="0" fontId="0" fillId="0" borderId="5" xfId="0" applyBorder="1"/>
    <xf numFmtId="164" fontId="1" fillId="0" borderId="0" xfId="0" applyNumberFormat="1" applyFont="1"/>
    <xf numFmtId="0" fontId="0" fillId="0" borderId="6" xfId="0" applyBorder="1"/>
    <xf numFmtId="0" fontId="0" fillId="0" borderId="7" xfId="0" applyBorder="1"/>
    <xf numFmtId="164" fontId="0" fillId="0" borderId="8" xfId="0" applyNumberFormat="1" applyBorder="1"/>
    <xf numFmtId="0" fontId="5" fillId="0" borderId="7" xfId="0" applyFont="1" applyBorder="1"/>
    <xf numFmtId="0" fontId="0" fillId="0" borderId="9" xfId="0" applyBorder="1"/>
    <xf numFmtId="0" fontId="0" fillId="0" borderId="10" xfId="0" applyBorder="1"/>
    <xf numFmtId="0" fontId="0" fillId="0" borderId="11" xfId="0" applyBorder="1"/>
    <xf numFmtId="0" fontId="3" fillId="0" borderId="0" xfId="0" applyFont="1"/>
    <xf numFmtId="0" fontId="0" fillId="0" borderId="8" xfId="0" applyBorder="1"/>
    <xf numFmtId="0" fontId="5" fillId="0" borderId="9" xfId="0" applyFont="1" applyBorder="1"/>
    <xf numFmtId="164" fontId="0" fillId="0" borderId="10" xfId="0" applyNumberFormat="1" applyBorder="1"/>
    <xf numFmtId="0" fontId="5" fillId="0" borderId="6" xfId="0" applyFont="1" applyBorder="1"/>
    <xf numFmtId="0" fontId="5" fillId="0" borderId="5" xfId="0" applyFont="1" applyBorder="1"/>
    <xf numFmtId="0" fontId="6" fillId="0" borderId="0" xfId="0" applyFont="1"/>
    <xf numFmtId="165" fontId="0" fillId="0" borderId="10" xfId="0" applyNumberFormat="1" applyBorder="1"/>
    <xf numFmtId="165" fontId="0" fillId="0" borderId="0" xfId="0" applyNumberFormat="1"/>
    <xf numFmtId="165" fontId="0" fillId="0" borderId="8" xfId="0" applyNumberFormat="1" applyBorder="1"/>
    <xf numFmtId="165" fontId="1" fillId="0" borderId="0" xfId="0" applyNumberFormat="1" applyFont="1"/>
    <xf numFmtId="165" fontId="0" fillId="3" borderId="4" xfId="0" applyNumberFormat="1" applyFill="1" applyBorder="1"/>
    <xf numFmtId="165" fontId="0" fillId="0" borderId="5" xfId="0" applyNumberFormat="1" applyBorder="1"/>
    <xf numFmtId="0" fontId="0" fillId="0" borderId="3" xfId="0" applyBorder="1"/>
    <xf numFmtId="0" fontId="9" fillId="0" borderId="7" xfId="0" applyFont="1" applyBorder="1"/>
    <xf numFmtId="0" fontId="9" fillId="0" borderId="0" xfId="0" applyFont="1"/>
    <xf numFmtId="0" fontId="9" fillId="4" borderId="1" xfId="2" applyFill="1" applyBorder="1" applyAlignment="1">
      <alignment horizontal="center" vertical="center" wrapText="1"/>
    </xf>
    <xf numFmtId="0" fontId="6" fillId="0" borderId="0" xfId="2" applyFont="1" applyAlignment="1">
      <alignment horizontal="right"/>
    </xf>
    <xf numFmtId="0" fontId="9" fillId="0" borderId="13" xfId="2" quotePrefix="1" applyBorder="1" applyAlignment="1">
      <alignment horizontal="center"/>
    </xf>
    <xf numFmtId="0" fontId="9" fillId="2" borderId="13" xfId="2" applyFill="1" applyBorder="1"/>
    <xf numFmtId="164" fontId="1" fillId="0" borderId="5" xfId="0" applyNumberFormat="1" applyFont="1" applyBorder="1"/>
    <xf numFmtId="44" fontId="9" fillId="0" borderId="14" xfId="1" applyFont="1" applyFill="1" applyBorder="1" applyAlignment="1">
      <alignment horizontal="center"/>
    </xf>
    <xf numFmtId="44" fontId="9" fillId="3" borderId="1" xfId="1" applyFont="1" applyFill="1" applyBorder="1"/>
    <xf numFmtId="0" fontId="5" fillId="0" borderId="3" xfId="0" applyFont="1" applyBorder="1"/>
    <xf numFmtId="0" fontId="0" fillId="0" borderId="4" xfId="0" applyBorder="1"/>
    <xf numFmtId="164" fontId="0" fillId="0" borderId="3" xfId="0" applyNumberFormat="1" applyBorder="1"/>
    <xf numFmtId="164" fontId="1" fillId="0" borderId="3" xfId="0" applyNumberFormat="1" applyFont="1" applyBorder="1"/>
    <xf numFmtId="0" fontId="5" fillId="0" borderId="10" xfId="0" applyFont="1" applyBorder="1"/>
    <xf numFmtId="0" fontId="1" fillId="0" borderId="0" xfId="0" applyFont="1"/>
    <xf numFmtId="0" fontId="4" fillId="0" borderId="0" xfId="0" applyFont="1"/>
    <xf numFmtId="44" fontId="9" fillId="0" borderId="0" xfId="1" applyFont="1" applyFill="1" applyBorder="1" applyAlignment="1">
      <alignment horizontal="center"/>
    </xf>
    <xf numFmtId="0" fontId="17" fillId="0" borderId="0" xfId="0" applyFont="1"/>
    <xf numFmtId="0" fontId="19" fillId="0" borderId="0" xfId="0" applyFont="1"/>
    <xf numFmtId="167" fontId="0" fillId="0" borderId="0" xfId="0" applyNumberFormat="1"/>
    <xf numFmtId="0" fontId="19" fillId="0" borderId="7" xfId="0" applyFont="1" applyBorder="1"/>
    <xf numFmtId="0" fontId="1" fillId="0" borderId="7" xfId="0" applyFont="1" applyBorder="1"/>
    <xf numFmtId="0" fontId="1" fillId="0" borderId="9" xfId="0" applyFont="1" applyBorder="1"/>
    <xf numFmtId="44" fontId="9" fillId="4" borderId="1" xfId="1" applyFont="1" applyFill="1" applyBorder="1" applyAlignment="1">
      <alignment horizontal="center" vertical="center"/>
    </xf>
    <xf numFmtId="44" fontId="9" fillId="0" borderId="17" xfId="1" applyFont="1" applyFill="1" applyBorder="1"/>
    <xf numFmtId="44" fontId="9" fillId="0" borderId="18" xfId="1" applyFont="1" applyFill="1" applyBorder="1" applyAlignment="1">
      <alignment horizontal="center"/>
    </xf>
    <xf numFmtId="0" fontId="9" fillId="2" borderId="14" xfId="2" applyFill="1" applyBorder="1"/>
    <xf numFmtId="44" fontId="9" fillId="0" borderId="20" xfId="1" applyFont="1" applyFill="1" applyBorder="1"/>
    <xf numFmtId="44" fontId="9" fillId="0" borderId="21" xfId="1" applyFont="1" applyFill="1" applyBorder="1"/>
    <xf numFmtId="0" fontId="5" fillId="4" borderId="2" xfId="0" applyFont="1" applyFill="1" applyBorder="1"/>
    <xf numFmtId="0" fontId="5" fillId="4" borderId="3" xfId="0" applyFont="1" applyFill="1" applyBorder="1"/>
    <xf numFmtId="0" fontId="21" fillId="0" borderId="0" xfId="0" applyFont="1" applyAlignment="1">
      <alignment horizontal="center"/>
    </xf>
    <xf numFmtId="0" fontId="4" fillId="0" borderId="0" xfId="0" applyFont="1" applyAlignment="1">
      <alignment horizontal="center"/>
    </xf>
    <xf numFmtId="0" fontId="0" fillId="0" borderId="12" xfId="0" applyBorder="1"/>
    <xf numFmtId="165" fontId="0" fillId="3" borderId="1" xfId="0" applyNumberFormat="1" applyFill="1" applyBorder="1"/>
    <xf numFmtId="165" fontId="1" fillId="0" borderId="10" xfId="0" applyNumberFormat="1" applyFont="1" applyBorder="1"/>
    <xf numFmtId="0" fontId="0" fillId="0" borderId="9" xfId="0" applyBorder="1" applyProtection="1">
      <protection hidden="1"/>
    </xf>
    <xf numFmtId="0" fontId="13" fillId="0" borderId="12" xfId="0" applyFont="1" applyBorder="1" applyProtection="1">
      <protection hidden="1"/>
    </xf>
    <xf numFmtId="0" fontId="0" fillId="0" borderId="7" xfId="0" applyBorder="1" applyProtection="1">
      <protection hidden="1"/>
    </xf>
    <xf numFmtId="44" fontId="9" fillId="0" borderId="25" xfId="1" applyFont="1" applyFill="1" applyBorder="1" applyAlignment="1">
      <alignment horizontal="center"/>
    </xf>
    <xf numFmtId="0" fontId="9" fillId="0" borderId="26" xfId="2" quotePrefix="1" applyBorder="1" applyAlignment="1">
      <alignment horizontal="center"/>
    </xf>
    <xf numFmtId="0" fontId="9" fillId="2" borderId="26" xfId="2" applyFill="1" applyBorder="1"/>
    <xf numFmtId="44" fontId="9" fillId="0" borderId="27" xfId="1" applyFont="1" applyFill="1" applyBorder="1"/>
    <xf numFmtId="0" fontId="9" fillId="2" borderId="25" xfId="2" applyFill="1" applyBorder="1"/>
    <xf numFmtId="44" fontId="9" fillId="0" borderId="28" xfId="1" applyFont="1" applyFill="1" applyBorder="1"/>
    <xf numFmtId="44" fontId="1" fillId="7" borderId="1" xfId="0" applyNumberFormat="1" applyFont="1" applyFill="1" applyBorder="1"/>
    <xf numFmtId="0" fontId="5" fillId="0" borderId="2" xfId="0" applyFont="1" applyBorder="1" applyAlignment="1">
      <alignment horizontal="right"/>
    </xf>
    <xf numFmtId="0" fontId="5" fillId="0" borderId="4" xfId="0" applyFont="1" applyBorder="1" applyAlignment="1">
      <alignment horizontal="right"/>
    </xf>
    <xf numFmtId="0" fontId="5" fillId="0" borderId="1" xfId="0" applyFont="1" applyBorder="1" applyAlignment="1">
      <alignment horizontal="center"/>
    </xf>
    <xf numFmtId="0" fontId="5" fillId="0" borderId="4" xfId="0" applyFont="1" applyBorder="1" applyAlignment="1">
      <alignment horizontal="center"/>
    </xf>
    <xf numFmtId="0" fontId="5" fillId="9" borderId="9" xfId="0" applyFont="1" applyFill="1" applyBorder="1"/>
    <xf numFmtId="0" fontId="5" fillId="11" borderId="9" xfId="0" applyFont="1" applyFill="1" applyBorder="1"/>
    <xf numFmtId="0" fontId="5" fillId="10" borderId="9" xfId="0" applyFont="1" applyFill="1" applyBorder="1"/>
    <xf numFmtId="0" fontId="5" fillId="12" borderId="9" xfId="0" applyFont="1" applyFill="1" applyBorder="1"/>
    <xf numFmtId="0" fontId="5" fillId="14" borderId="9" xfId="0" applyFont="1" applyFill="1" applyBorder="1"/>
    <xf numFmtId="0" fontId="5" fillId="15" borderId="9" xfId="0" applyFont="1" applyFill="1" applyBorder="1"/>
    <xf numFmtId="0" fontId="5" fillId="13" borderId="9" xfId="0" applyFont="1" applyFill="1" applyBorder="1"/>
    <xf numFmtId="0" fontId="5" fillId="8" borderId="9" xfId="0" applyFont="1" applyFill="1" applyBorder="1"/>
    <xf numFmtId="0" fontId="5" fillId="10" borderId="10" xfId="0" applyFont="1" applyFill="1" applyBorder="1" applyAlignment="1">
      <alignment horizontal="center"/>
    </xf>
    <xf numFmtId="0" fontId="5" fillId="11" borderId="10" xfId="0" applyFont="1" applyFill="1" applyBorder="1" applyAlignment="1">
      <alignment horizontal="right"/>
    </xf>
    <xf numFmtId="0" fontId="5" fillId="11" borderId="10" xfId="0" applyFont="1" applyFill="1" applyBorder="1" applyAlignment="1">
      <alignment horizontal="center"/>
    </xf>
    <xf numFmtId="0" fontId="5" fillId="10" borderId="12" xfId="0" applyFont="1" applyFill="1" applyBorder="1" applyAlignment="1">
      <alignment horizontal="right"/>
    </xf>
    <xf numFmtId="0" fontId="5" fillId="12" borderId="12" xfId="0" applyFont="1" applyFill="1" applyBorder="1" applyAlignment="1">
      <alignment horizontal="right"/>
    </xf>
    <xf numFmtId="0" fontId="5" fillId="12" borderId="10" xfId="0" applyFont="1" applyFill="1" applyBorder="1" applyAlignment="1">
      <alignment horizontal="center"/>
    </xf>
    <xf numFmtId="0" fontId="5" fillId="13" borderId="12" xfId="0" applyFont="1" applyFill="1" applyBorder="1" applyAlignment="1">
      <alignment horizontal="right"/>
    </xf>
    <xf numFmtId="0" fontId="5" fillId="13" borderId="10" xfId="0" applyFont="1" applyFill="1" applyBorder="1" applyAlignment="1">
      <alignment horizontal="center"/>
    </xf>
    <xf numFmtId="0" fontId="5" fillId="14" borderId="12" xfId="0" applyFont="1" applyFill="1" applyBorder="1" applyAlignment="1">
      <alignment horizontal="right"/>
    </xf>
    <xf numFmtId="0" fontId="5" fillId="14" borderId="10" xfId="0" applyFont="1" applyFill="1" applyBorder="1" applyAlignment="1">
      <alignment horizontal="center"/>
    </xf>
    <xf numFmtId="0" fontId="5" fillId="13" borderId="10" xfId="0" applyFont="1" applyFill="1" applyBorder="1"/>
    <xf numFmtId="0" fontId="5" fillId="10" borderId="10" xfId="0" applyFont="1" applyFill="1" applyBorder="1"/>
    <xf numFmtId="0" fontId="5" fillId="12" borderId="10" xfId="0" applyFont="1" applyFill="1" applyBorder="1"/>
    <xf numFmtId="0" fontId="5" fillId="2" borderId="22" xfId="0" applyFont="1" applyFill="1" applyBorder="1" applyAlignment="1">
      <alignment horizontal="center"/>
    </xf>
    <xf numFmtId="0" fontId="0" fillId="17" borderId="0" xfId="0" applyFill="1"/>
    <xf numFmtId="0" fontId="0" fillId="19" borderId="0" xfId="0" applyFill="1" applyProtection="1">
      <protection hidden="1"/>
    </xf>
    <xf numFmtId="0" fontId="0" fillId="17" borderId="0" xfId="0" applyFill="1" applyProtection="1">
      <protection hidden="1"/>
    </xf>
    <xf numFmtId="0" fontId="1" fillId="17" borderId="0" xfId="0" applyFont="1" applyFill="1" applyProtection="1">
      <protection hidden="1"/>
    </xf>
    <xf numFmtId="0" fontId="0" fillId="18" borderId="7" xfId="0" applyFill="1" applyBorder="1" applyProtection="1">
      <protection hidden="1"/>
    </xf>
    <xf numFmtId="0" fontId="0" fillId="18" borderId="0" xfId="0" applyFill="1" applyProtection="1">
      <protection hidden="1"/>
    </xf>
    <xf numFmtId="0" fontId="1" fillId="18" borderId="7" xfId="0" applyFont="1" applyFill="1" applyBorder="1" applyProtection="1">
      <protection hidden="1"/>
    </xf>
    <xf numFmtId="0" fontId="0" fillId="18" borderId="6" xfId="0" applyFill="1" applyBorder="1" applyProtection="1">
      <protection hidden="1"/>
    </xf>
    <xf numFmtId="0" fontId="0" fillId="18" borderId="5" xfId="0" applyFill="1" applyBorder="1" applyProtection="1">
      <protection hidden="1"/>
    </xf>
    <xf numFmtId="0" fontId="0" fillId="18" borderId="9" xfId="0" applyFill="1" applyBorder="1" applyProtection="1">
      <protection hidden="1"/>
    </xf>
    <xf numFmtId="0" fontId="0" fillId="18" borderId="10" xfId="0" applyFill="1" applyBorder="1" applyProtection="1">
      <protection hidden="1"/>
    </xf>
    <xf numFmtId="165" fontId="1" fillId="18" borderId="0" xfId="0" applyNumberFormat="1" applyFont="1" applyFill="1" applyProtection="1">
      <protection hidden="1"/>
    </xf>
    <xf numFmtId="167" fontId="17" fillId="18" borderId="0" xfId="0" applyNumberFormat="1" applyFont="1" applyFill="1" applyProtection="1">
      <protection hidden="1"/>
    </xf>
    <xf numFmtId="0" fontId="17" fillId="18" borderId="0" xfId="0" applyFont="1" applyFill="1" applyProtection="1">
      <protection hidden="1"/>
    </xf>
    <xf numFmtId="0" fontId="1" fillId="18" borderId="0" xfId="0" applyFont="1" applyFill="1" applyProtection="1">
      <protection hidden="1"/>
    </xf>
    <xf numFmtId="0" fontId="1" fillId="18" borderId="0" xfId="0" quotePrefix="1" applyFont="1" applyFill="1" applyProtection="1">
      <protection hidden="1"/>
    </xf>
    <xf numFmtId="0" fontId="1" fillId="18" borderId="10" xfId="0" applyFont="1" applyFill="1" applyBorder="1" applyProtection="1">
      <protection hidden="1"/>
    </xf>
    <xf numFmtId="0" fontId="4" fillId="18" borderId="0" xfId="0" applyFont="1" applyFill="1" applyAlignment="1" applyProtection="1">
      <alignment horizontal="center"/>
      <protection hidden="1"/>
    </xf>
    <xf numFmtId="0" fontId="4" fillId="18" borderId="0" xfId="0" applyFont="1" applyFill="1" applyProtection="1">
      <protection hidden="1"/>
    </xf>
    <xf numFmtId="0" fontId="0" fillId="18" borderId="8" xfId="0" applyFill="1" applyBorder="1" applyProtection="1">
      <protection hidden="1"/>
    </xf>
    <xf numFmtId="0" fontId="4" fillId="18" borderId="7" xfId="0" applyFont="1" applyFill="1" applyBorder="1" applyAlignment="1" applyProtection="1">
      <alignment horizontal="center"/>
      <protection hidden="1"/>
    </xf>
    <xf numFmtId="165" fontId="4" fillId="18" borderId="0" xfId="0" applyNumberFormat="1" applyFont="1" applyFill="1" applyAlignment="1" applyProtection="1">
      <alignment horizontal="center"/>
      <protection hidden="1"/>
    </xf>
    <xf numFmtId="0" fontId="18" fillId="18" borderId="0" xfId="0" quotePrefix="1" applyFont="1" applyFill="1" applyProtection="1">
      <protection hidden="1"/>
    </xf>
    <xf numFmtId="164" fontId="1" fillId="18" borderId="0" xfId="0" applyNumberFormat="1" applyFont="1" applyFill="1" applyProtection="1">
      <protection hidden="1"/>
    </xf>
    <xf numFmtId="0" fontId="1" fillId="18" borderId="6" xfId="0" applyFont="1" applyFill="1" applyBorder="1" applyAlignment="1" applyProtection="1">
      <alignment horizontal="center"/>
      <protection hidden="1"/>
    </xf>
    <xf numFmtId="0" fontId="1" fillId="18" borderId="5" xfId="0" applyFont="1" applyFill="1" applyBorder="1" applyAlignment="1" applyProtection="1">
      <alignment horizontal="center"/>
      <protection hidden="1"/>
    </xf>
    <xf numFmtId="0" fontId="1" fillId="18" borderId="9" xfId="0" applyFont="1" applyFill="1" applyBorder="1" applyProtection="1">
      <protection hidden="1"/>
    </xf>
    <xf numFmtId="0" fontId="0" fillId="17" borderId="0" xfId="0" applyFill="1" applyAlignment="1" applyProtection="1">
      <alignment horizontal="center" vertical="center"/>
      <protection hidden="1"/>
    </xf>
    <xf numFmtId="0" fontId="0" fillId="18" borderId="0" xfId="0" applyFill="1" applyAlignment="1" applyProtection="1">
      <alignment horizontal="center" vertical="center"/>
      <protection hidden="1"/>
    </xf>
    <xf numFmtId="0" fontId="5" fillId="18" borderId="5" xfId="0" applyFont="1" applyFill="1" applyBorder="1" applyAlignment="1" applyProtection="1">
      <alignment horizontal="center" vertical="center"/>
      <protection hidden="1"/>
    </xf>
    <xf numFmtId="164" fontId="1" fillId="18" borderId="0" xfId="0" applyNumberFormat="1" applyFont="1" applyFill="1"/>
    <xf numFmtId="0" fontId="5" fillId="18" borderId="0" xfId="0" applyFont="1" applyFill="1"/>
    <xf numFmtId="0" fontId="5" fillId="0" borderId="1" xfId="0" applyFont="1" applyBorder="1" applyAlignment="1">
      <alignment horizontal="right"/>
    </xf>
    <xf numFmtId="0" fontId="5" fillId="0" borderId="33" xfId="0" applyFont="1" applyBorder="1"/>
    <xf numFmtId="0" fontId="5" fillId="0" borderId="34" xfId="0" applyFont="1" applyBorder="1"/>
    <xf numFmtId="0" fontId="5" fillId="0" borderId="35" xfId="0" applyFont="1" applyBorder="1"/>
    <xf numFmtId="0" fontId="0" fillId="0" borderId="0" xfId="0" applyProtection="1">
      <protection hidden="1"/>
    </xf>
    <xf numFmtId="165" fontId="0" fillId="0" borderId="8" xfId="0" applyNumberFormat="1" applyBorder="1" applyAlignment="1" applyProtection="1">
      <alignment horizontal="center" vertical="center"/>
      <protection hidden="1"/>
    </xf>
    <xf numFmtId="0" fontId="3" fillId="18" borderId="0" xfId="0" applyFont="1" applyFill="1"/>
    <xf numFmtId="0" fontId="0" fillId="0" borderId="10" xfId="0" applyBorder="1" applyProtection="1">
      <protection hidden="1"/>
    </xf>
    <xf numFmtId="165" fontId="0" fillId="18" borderId="8" xfId="0" applyNumberFormat="1" applyFill="1" applyBorder="1" applyAlignment="1" applyProtection="1">
      <alignment horizontal="center" vertical="center"/>
      <protection hidden="1"/>
    </xf>
    <xf numFmtId="164" fontId="0" fillId="18" borderId="0" xfId="0" applyNumberFormat="1" applyFill="1" applyAlignment="1" applyProtection="1">
      <alignment horizontal="center" vertical="center"/>
      <protection hidden="1"/>
    </xf>
    <xf numFmtId="0" fontId="1" fillId="18" borderId="0" xfId="0" applyFont="1" applyFill="1" applyAlignment="1" applyProtection="1">
      <alignment horizontal="center" vertical="center"/>
      <protection hidden="1"/>
    </xf>
    <xf numFmtId="0" fontId="0" fillId="18" borderId="11" xfId="0" applyFill="1" applyBorder="1" applyProtection="1">
      <protection hidden="1"/>
    </xf>
    <xf numFmtId="164" fontId="0" fillId="18" borderId="5" xfId="0" applyNumberFormat="1" applyFill="1" applyBorder="1" applyAlignment="1" applyProtection="1">
      <alignment horizontal="center" vertical="center"/>
      <protection hidden="1"/>
    </xf>
    <xf numFmtId="164" fontId="0" fillId="18" borderId="25" xfId="0" applyNumberFormat="1" applyFill="1" applyBorder="1" applyAlignment="1" applyProtection="1">
      <alignment horizontal="center" vertical="center"/>
      <protection hidden="1"/>
    </xf>
    <xf numFmtId="0" fontId="0" fillId="18" borderId="0" xfId="0" quotePrefix="1" applyFill="1" applyProtection="1">
      <protection hidden="1"/>
    </xf>
    <xf numFmtId="164" fontId="0" fillId="18" borderId="10" xfId="0" applyNumberFormat="1" applyFill="1" applyBorder="1" applyAlignment="1" applyProtection="1">
      <alignment horizontal="center" vertical="center"/>
      <protection hidden="1"/>
    </xf>
    <xf numFmtId="0" fontId="0" fillId="18" borderId="12" xfId="0" applyFill="1" applyBorder="1" applyProtection="1">
      <protection hidden="1"/>
    </xf>
    <xf numFmtId="0" fontId="1" fillId="0" borderId="0" xfId="0" applyFont="1" applyProtection="1">
      <protection hidden="1"/>
    </xf>
    <xf numFmtId="0" fontId="1" fillId="0" borderId="10" xfId="0" applyFont="1" applyBorder="1" applyAlignment="1" applyProtection="1">
      <alignment vertical="center"/>
      <protection hidden="1"/>
    </xf>
    <xf numFmtId="165" fontId="1" fillId="0" borderId="0" xfId="0" applyNumberFormat="1" applyFont="1" applyProtection="1">
      <protection hidden="1"/>
    </xf>
    <xf numFmtId="0" fontId="1" fillId="0" borderId="7" xfId="0" applyFont="1" applyBorder="1" applyProtection="1">
      <protection hidden="1"/>
    </xf>
    <xf numFmtId="0" fontId="1" fillId="0" borderId="9" xfId="0" applyFont="1" applyBorder="1" applyProtection="1">
      <protection hidden="1"/>
    </xf>
    <xf numFmtId="0" fontId="1" fillId="0" borderId="0" xfId="0" applyFont="1" applyAlignment="1" applyProtection="1">
      <alignment horizontal="center"/>
      <protection hidden="1"/>
    </xf>
    <xf numFmtId="0" fontId="1" fillId="0" borderId="10" xfId="0" applyFont="1" applyBorder="1" applyProtection="1">
      <protection hidden="1"/>
    </xf>
    <xf numFmtId="0" fontId="4" fillId="0" borderId="0" xfId="0" applyFont="1" applyAlignment="1" applyProtection="1">
      <alignment horizontal="center"/>
      <protection hidden="1"/>
    </xf>
    <xf numFmtId="164" fontId="1" fillId="0" borderId="0" xfId="0" applyNumberFormat="1" applyFont="1" applyProtection="1">
      <protection hidden="1"/>
    </xf>
    <xf numFmtId="0" fontId="0" fillId="0" borderId="0" xfId="0" applyAlignment="1" applyProtection="1">
      <alignment horizontal="center" vertical="center"/>
      <protection hidden="1"/>
    </xf>
    <xf numFmtId="0" fontId="1" fillId="0" borderId="20" xfId="0" quotePrefix="1" applyFont="1" applyBorder="1" applyAlignment="1" applyProtection="1">
      <alignment horizontal="center" vertical="center"/>
      <protection hidden="1"/>
    </xf>
    <xf numFmtId="0" fontId="1" fillId="0" borderId="21" xfId="0" quotePrefix="1" applyFont="1" applyBorder="1" applyAlignment="1" applyProtection="1">
      <alignment horizontal="center" vertical="center"/>
      <protection hidden="1"/>
    </xf>
    <xf numFmtId="0" fontId="1"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164" fontId="1" fillId="0" borderId="0" xfId="0" applyNumberFormat="1" applyFont="1" applyAlignment="1" applyProtection="1">
      <alignment horizontal="right" vertical="center"/>
      <protection hidden="1"/>
    </xf>
    <xf numFmtId="164" fontId="5" fillId="0" borderId="0" xfId="0" applyNumberFormat="1" applyFont="1" applyAlignment="1" applyProtection="1">
      <alignment horizontal="right" vertical="center"/>
      <protection hidden="1"/>
    </xf>
    <xf numFmtId="0" fontId="1" fillId="0" borderId="0" xfId="0" applyFont="1" applyAlignment="1" applyProtection="1">
      <alignment horizontal="center" vertical="center"/>
      <protection hidden="1"/>
    </xf>
    <xf numFmtId="0" fontId="4" fillId="0" borderId="7" xfId="0" applyFont="1" applyBorder="1" applyAlignment="1" applyProtection="1">
      <alignment vertical="center"/>
      <protection hidden="1"/>
    </xf>
    <xf numFmtId="0" fontId="4" fillId="0" borderId="0" xfId="0" applyFont="1" applyAlignment="1" applyProtection="1">
      <alignment vertical="center"/>
      <protection hidden="1"/>
    </xf>
    <xf numFmtId="164" fontId="4" fillId="0" borderId="0" xfId="0" applyNumberFormat="1" applyFont="1" applyAlignment="1" applyProtection="1">
      <alignment horizontal="right" vertical="center"/>
      <protection hidden="1"/>
    </xf>
    <xf numFmtId="164" fontId="4" fillId="0" borderId="0" xfId="0" applyNumberFormat="1" applyFont="1" applyAlignment="1" applyProtection="1">
      <alignment horizontal="center" vertical="center"/>
      <protection hidden="1"/>
    </xf>
    <xf numFmtId="0" fontId="13" fillId="0" borderId="0" xfId="0" applyFont="1" applyAlignment="1" applyProtection="1">
      <alignment horizontal="center"/>
      <protection hidden="1"/>
    </xf>
    <xf numFmtId="0" fontId="1" fillId="19" borderId="0" xfId="0" applyFont="1" applyFill="1" applyProtection="1">
      <protection hidden="1"/>
    </xf>
    <xf numFmtId="165" fontId="1" fillId="17" borderId="0" xfId="0" applyNumberFormat="1" applyFont="1" applyFill="1" applyProtection="1">
      <protection hidden="1"/>
    </xf>
    <xf numFmtId="0" fontId="1" fillId="17" borderId="0" xfId="0" applyFont="1" applyFill="1" applyAlignment="1" applyProtection="1">
      <alignment horizontal="center" vertical="center"/>
      <protection hidden="1"/>
    </xf>
    <xf numFmtId="164" fontId="1" fillId="17" borderId="0" xfId="0" applyNumberFormat="1" applyFont="1" applyFill="1" applyAlignment="1" applyProtection="1">
      <alignment horizontal="center" vertical="center"/>
      <protection hidden="1"/>
    </xf>
    <xf numFmtId="164" fontId="1" fillId="18" borderId="8" xfId="0" applyNumberFormat="1" applyFont="1" applyFill="1" applyBorder="1" applyAlignment="1" applyProtection="1">
      <alignment horizontal="center" vertical="center"/>
      <protection hidden="1"/>
    </xf>
    <xf numFmtId="0" fontId="35" fillId="18" borderId="7" xfId="0" applyFont="1" applyFill="1" applyBorder="1" applyProtection="1">
      <protection hidden="1"/>
    </xf>
    <xf numFmtId="0" fontId="1" fillId="18" borderId="0" xfId="0" applyFont="1" applyFill="1" applyAlignment="1" applyProtection="1">
      <alignment vertical="center" wrapText="1"/>
      <protection hidden="1"/>
    </xf>
    <xf numFmtId="0" fontId="1" fillId="18" borderId="10" xfId="0" quotePrefix="1" applyFont="1" applyFill="1" applyBorder="1" applyProtection="1">
      <protection hidden="1"/>
    </xf>
    <xf numFmtId="0" fontId="1" fillId="18" borderId="10" xfId="0" quotePrefix="1" applyFont="1" applyFill="1" applyBorder="1" applyAlignment="1" applyProtection="1">
      <alignment horizontal="center" vertical="center"/>
      <protection hidden="1"/>
    </xf>
    <xf numFmtId="0" fontId="1" fillId="18" borderId="6" xfId="0" applyFont="1" applyFill="1" applyBorder="1" applyProtection="1">
      <protection hidden="1"/>
    </xf>
    <xf numFmtId="0" fontId="1" fillId="18" borderId="5" xfId="0" applyFont="1" applyFill="1" applyBorder="1" applyProtection="1">
      <protection hidden="1"/>
    </xf>
    <xf numFmtId="165" fontId="1" fillId="18" borderId="5" xfId="0" applyNumberFormat="1" applyFont="1" applyFill="1" applyBorder="1" applyProtection="1">
      <protection hidden="1"/>
    </xf>
    <xf numFmtId="0" fontId="1" fillId="18" borderId="5" xfId="0" quotePrefix="1" applyFont="1" applyFill="1" applyBorder="1" applyProtection="1">
      <protection hidden="1"/>
    </xf>
    <xf numFmtId="167" fontId="1" fillId="18" borderId="0" xfId="0" applyNumberFormat="1" applyFont="1" applyFill="1" applyProtection="1">
      <protection hidden="1"/>
    </xf>
    <xf numFmtId="0" fontId="10" fillId="18" borderId="7" xfId="0" applyFont="1" applyFill="1" applyBorder="1" applyAlignment="1" applyProtection="1">
      <alignment horizontal="center"/>
      <protection hidden="1"/>
    </xf>
    <xf numFmtId="0" fontId="10" fillId="18" borderId="0" xfId="0" applyFont="1" applyFill="1" applyAlignment="1" applyProtection="1">
      <alignment horizontal="center"/>
      <protection hidden="1"/>
    </xf>
    <xf numFmtId="3" fontId="1" fillId="18" borderId="0" xfId="0" applyNumberFormat="1" applyFont="1" applyFill="1" applyAlignment="1" applyProtection="1">
      <alignment horizontal="left"/>
      <protection hidden="1"/>
    </xf>
    <xf numFmtId="3" fontId="1" fillId="18" borderId="0" xfId="0" quotePrefix="1" applyNumberFormat="1" applyFont="1" applyFill="1" applyProtection="1">
      <protection hidden="1"/>
    </xf>
    <xf numFmtId="167" fontId="1" fillId="18" borderId="0" xfId="0" applyNumberFormat="1" applyFont="1" applyFill="1" applyAlignment="1" applyProtection="1">
      <alignment horizontal="left"/>
      <protection hidden="1"/>
    </xf>
    <xf numFmtId="0" fontId="1" fillId="18" borderId="29" xfId="0" applyFont="1" applyFill="1" applyBorder="1" applyProtection="1">
      <protection hidden="1"/>
    </xf>
    <xf numFmtId="0" fontId="1" fillId="17" borderId="0" xfId="0" applyFont="1" applyFill="1" applyAlignment="1" applyProtection="1">
      <alignment horizontal="center"/>
      <protection hidden="1"/>
    </xf>
    <xf numFmtId="0" fontId="1" fillId="17" borderId="0" xfId="0" applyFont="1" applyFill="1" applyAlignment="1" applyProtection="1">
      <alignment vertical="center"/>
      <protection hidden="1"/>
    </xf>
    <xf numFmtId="164" fontId="1" fillId="17" borderId="0" xfId="0" applyNumberFormat="1" applyFont="1" applyFill="1" applyAlignment="1" applyProtection="1">
      <alignment horizontal="right" vertical="center"/>
      <protection hidden="1"/>
    </xf>
    <xf numFmtId="164" fontId="1" fillId="17" borderId="0" xfId="0" applyNumberFormat="1" applyFont="1" applyFill="1" applyProtection="1">
      <protection hidden="1"/>
    </xf>
    <xf numFmtId="0" fontId="1" fillId="0" borderId="5" xfId="0" applyFont="1" applyBorder="1" applyProtection="1">
      <protection hidden="1"/>
    </xf>
    <xf numFmtId="165" fontId="1" fillId="0" borderId="0" xfId="0" applyNumberFormat="1" applyFont="1" applyAlignment="1" applyProtection="1">
      <alignment vertical="center"/>
      <protection hidden="1"/>
    </xf>
    <xf numFmtId="164" fontId="1" fillId="0" borderId="0" xfId="0" applyNumberFormat="1" applyFont="1" applyAlignment="1" applyProtection="1">
      <alignment horizontal="center" vertical="center"/>
      <protection hidden="1"/>
    </xf>
    <xf numFmtId="0" fontId="1" fillId="0" borderId="7" xfId="0" applyFont="1" applyBorder="1" applyAlignment="1" applyProtection="1">
      <alignment vertical="center"/>
      <protection hidden="1"/>
    </xf>
    <xf numFmtId="0" fontId="1" fillId="0" borderId="9" xfId="0" applyFont="1" applyBorder="1" applyAlignment="1" applyProtection="1">
      <alignment vertical="center"/>
      <protection hidden="1"/>
    </xf>
    <xf numFmtId="0" fontId="1" fillId="0" borderId="0" xfId="0" quotePrefix="1" applyFont="1" applyAlignment="1" applyProtection="1">
      <alignment horizontal="left" vertical="center"/>
      <protection hidden="1"/>
    </xf>
    <xf numFmtId="0" fontId="13" fillId="19" borderId="0" xfId="0" applyFont="1" applyFill="1" applyProtection="1">
      <protection hidden="1"/>
    </xf>
    <xf numFmtId="0" fontId="13" fillId="17" borderId="0" xfId="0" applyFont="1" applyFill="1" applyProtection="1">
      <protection hidden="1"/>
    </xf>
    <xf numFmtId="0" fontId="13" fillId="0" borderId="7" xfId="0" applyFont="1" applyBorder="1" applyProtection="1">
      <protection hidden="1"/>
    </xf>
    <xf numFmtId="0" fontId="13" fillId="0" borderId="0" xfId="0" applyFont="1" applyProtection="1">
      <protection hidden="1"/>
    </xf>
    <xf numFmtId="0" fontId="13" fillId="0" borderId="8" xfId="0" applyFont="1" applyBorder="1" applyProtection="1">
      <protection hidden="1"/>
    </xf>
    <xf numFmtId="0" fontId="13" fillId="0" borderId="2" xfId="0" applyFont="1" applyBorder="1" applyProtection="1">
      <protection hidden="1"/>
    </xf>
    <xf numFmtId="0" fontId="13" fillId="0" borderId="3" xfId="0" applyFont="1" applyBorder="1" applyProtection="1">
      <protection hidden="1"/>
    </xf>
    <xf numFmtId="0" fontId="13" fillId="0" borderId="6" xfId="0" applyFont="1" applyBorder="1" applyProtection="1">
      <protection hidden="1"/>
    </xf>
    <xf numFmtId="0" fontId="13" fillId="0" borderId="5" xfId="0" applyFont="1" applyBorder="1" applyProtection="1">
      <protection hidden="1"/>
    </xf>
    <xf numFmtId="0" fontId="13" fillId="0" borderId="11" xfId="0" applyFont="1" applyBorder="1" applyProtection="1">
      <protection hidden="1"/>
    </xf>
    <xf numFmtId="0" fontId="13" fillId="17" borderId="0" xfId="0" applyFont="1" applyFill="1"/>
    <xf numFmtId="0" fontId="13" fillId="0" borderId="0" xfId="0" applyFont="1"/>
    <xf numFmtId="0" fontId="13" fillId="0" borderId="3" xfId="0" applyFont="1" applyBorder="1"/>
    <xf numFmtId="0" fontId="13" fillId="0" borderId="4" xfId="0" applyFont="1" applyBorder="1"/>
    <xf numFmtId="0" fontId="13" fillId="0" borderId="11" xfId="0" applyFont="1" applyBorder="1"/>
    <xf numFmtId="0" fontId="13" fillId="19" borderId="0" xfId="0" applyFont="1" applyFill="1"/>
    <xf numFmtId="0" fontId="13" fillId="0" borderId="9" xfId="0" applyFont="1" applyBorder="1" applyProtection="1">
      <protection hidden="1"/>
    </xf>
    <xf numFmtId="0" fontId="13" fillId="0" borderId="2" xfId="0" applyFont="1" applyBorder="1" applyAlignment="1" applyProtection="1">
      <alignment vertical="center"/>
      <protection hidden="1"/>
    </xf>
    <xf numFmtId="0" fontId="13" fillId="18" borderId="6" xfId="0" applyFont="1" applyFill="1" applyBorder="1" applyProtection="1">
      <protection hidden="1"/>
    </xf>
    <xf numFmtId="0" fontId="13" fillId="18" borderId="5" xfId="0" applyFont="1" applyFill="1" applyBorder="1" applyProtection="1">
      <protection hidden="1"/>
    </xf>
    <xf numFmtId="0" fontId="13" fillId="18" borderId="7" xfId="0" applyFont="1" applyFill="1" applyBorder="1" applyProtection="1">
      <protection hidden="1"/>
    </xf>
    <xf numFmtId="0" fontId="13" fillId="18" borderId="0" xfId="0" applyFont="1" applyFill="1" applyProtection="1">
      <protection hidden="1"/>
    </xf>
    <xf numFmtId="0" fontId="13" fillId="0" borderId="10" xfId="0" applyFont="1" applyBorder="1" applyProtection="1">
      <protection hidden="1"/>
    </xf>
    <xf numFmtId="0" fontId="13" fillId="18" borderId="9" xfId="0" applyFont="1" applyFill="1" applyBorder="1" applyProtection="1">
      <protection hidden="1"/>
    </xf>
    <xf numFmtId="0" fontId="13" fillId="17" borderId="0" xfId="0" applyFont="1" applyFill="1" applyAlignment="1" applyProtection="1">
      <alignment horizontal="center"/>
      <protection hidden="1"/>
    </xf>
    <xf numFmtId="164" fontId="13" fillId="0" borderId="0" xfId="0" applyNumberFormat="1" applyFont="1" applyAlignment="1" applyProtection="1">
      <alignment horizontal="center"/>
      <protection hidden="1"/>
    </xf>
    <xf numFmtId="164" fontId="13" fillId="17" borderId="0" xfId="0" applyNumberFormat="1" applyFont="1" applyFill="1" applyAlignment="1" applyProtection="1">
      <alignment horizontal="center"/>
      <protection hidden="1"/>
    </xf>
    <xf numFmtId="0" fontId="5" fillId="0" borderId="0" xfId="0" applyFont="1" applyAlignment="1" applyProtection="1">
      <alignment horizontal="left" vertical="center"/>
      <protection hidden="1"/>
    </xf>
    <xf numFmtId="164" fontId="5" fillId="0" borderId="0" xfId="0" applyNumberFormat="1" applyFont="1" applyAlignment="1" applyProtection="1">
      <alignment horizontal="center" vertical="center"/>
      <protection hidden="1"/>
    </xf>
    <xf numFmtId="0" fontId="1" fillId="6" borderId="3" xfId="0" applyFont="1" applyFill="1" applyBorder="1" applyAlignment="1" applyProtection="1">
      <alignment vertical="center"/>
      <protection hidden="1"/>
    </xf>
    <xf numFmtId="164" fontId="1" fillId="6" borderId="3" xfId="0" applyNumberFormat="1" applyFont="1" applyFill="1" applyBorder="1" applyAlignment="1" applyProtection="1">
      <alignment horizontal="right" vertical="center"/>
      <protection hidden="1"/>
    </xf>
    <xf numFmtId="164" fontId="13" fillId="17" borderId="0" xfId="0" applyNumberFormat="1" applyFont="1" applyFill="1" applyAlignment="1" applyProtection="1">
      <alignment horizontal="center" vertical="center"/>
      <protection hidden="1"/>
    </xf>
    <xf numFmtId="164" fontId="13" fillId="18" borderId="5" xfId="0" applyNumberFormat="1" applyFont="1" applyFill="1" applyBorder="1" applyAlignment="1" applyProtection="1">
      <alignment horizontal="center" vertical="center"/>
      <protection hidden="1"/>
    </xf>
    <xf numFmtId="0" fontId="13" fillId="18" borderId="11" xfId="0" applyFont="1" applyFill="1" applyBorder="1" applyProtection="1">
      <protection hidden="1"/>
    </xf>
    <xf numFmtId="164" fontId="13" fillId="18" borderId="0" xfId="0" applyNumberFormat="1" applyFont="1" applyFill="1" applyAlignment="1" applyProtection="1">
      <alignment horizontal="center" vertical="center"/>
      <protection hidden="1"/>
    </xf>
    <xf numFmtId="0" fontId="13" fillId="18" borderId="8" xfId="0" applyFont="1" applyFill="1" applyBorder="1" applyProtection="1">
      <protection hidden="1"/>
    </xf>
    <xf numFmtId="0" fontId="13" fillId="18" borderId="0" xfId="0" quotePrefix="1" applyFont="1" applyFill="1" applyProtection="1">
      <protection hidden="1"/>
    </xf>
    <xf numFmtId="164" fontId="13" fillId="18" borderId="25" xfId="0" applyNumberFormat="1" applyFont="1" applyFill="1" applyBorder="1" applyAlignment="1" applyProtection="1">
      <alignment horizontal="center" vertical="center"/>
      <protection hidden="1"/>
    </xf>
    <xf numFmtId="0" fontId="13" fillId="18" borderId="10" xfId="0" applyFont="1" applyFill="1" applyBorder="1" applyProtection="1">
      <protection hidden="1"/>
    </xf>
    <xf numFmtId="164" fontId="13" fillId="18" borderId="10" xfId="0" applyNumberFormat="1" applyFont="1" applyFill="1" applyBorder="1" applyAlignment="1" applyProtection="1">
      <alignment horizontal="center" vertical="center"/>
      <protection hidden="1"/>
    </xf>
    <xf numFmtId="0" fontId="13" fillId="18" borderId="12" xfId="0" applyFont="1" applyFill="1" applyBorder="1" applyProtection="1">
      <protection hidden="1"/>
    </xf>
    <xf numFmtId="0" fontId="1" fillId="0" borderId="6" xfId="0" applyFont="1" applyBorder="1" applyAlignment="1" applyProtection="1">
      <alignment vertical="center"/>
      <protection hidden="1"/>
    </xf>
    <xf numFmtId="164" fontId="1" fillId="0" borderId="5" xfId="0" applyNumberFormat="1" applyFont="1" applyBorder="1" applyAlignment="1" applyProtection="1">
      <alignment horizontal="right" vertical="center"/>
      <protection hidden="1"/>
    </xf>
    <xf numFmtId="0" fontId="4" fillId="19" borderId="0" xfId="0" applyFont="1" applyFill="1" applyProtection="1">
      <protection hidden="1"/>
    </xf>
    <xf numFmtId="0" fontId="4" fillId="0" borderId="0" xfId="0" applyFont="1" applyAlignment="1" applyProtection="1">
      <alignment horizontal="center" vertical="center"/>
      <protection hidden="1"/>
    </xf>
    <xf numFmtId="0" fontId="4" fillId="0" borderId="0" xfId="0" applyFont="1" applyProtection="1">
      <protection hidden="1"/>
    </xf>
    <xf numFmtId="0" fontId="4" fillId="17" borderId="0" xfId="0" applyFont="1" applyFill="1" applyProtection="1">
      <protection hidden="1"/>
    </xf>
    <xf numFmtId="0" fontId="13" fillId="17" borderId="5" xfId="0" applyFont="1" applyFill="1" applyBorder="1" applyProtection="1">
      <protection hidden="1"/>
    </xf>
    <xf numFmtId="164" fontId="13" fillId="17" borderId="5" xfId="0" applyNumberFormat="1" applyFont="1" applyFill="1" applyBorder="1" applyAlignment="1" applyProtection="1">
      <alignment horizontal="center" vertical="center"/>
      <protection hidden="1"/>
    </xf>
    <xf numFmtId="164" fontId="1" fillId="22" borderId="4" xfId="0" applyNumberFormat="1" applyFont="1" applyFill="1" applyBorder="1"/>
    <xf numFmtId="164" fontId="4" fillId="6" borderId="20" xfId="0" applyNumberFormat="1" applyFont="1" applyFill="1" applyBorder="1" applyAlignment="1" applyProtection="1">
      <alignment horizontal="center" vertical="center"/>
      <protection locked="0" hidden="1"/>
    </xf>
    <xf numFmtId="164" fontId="4" fillId="6" borderId="27" xfId="0" applyNumberFormat="1" applyFont="1" applyFill="1" applyBorder="1" applyAlignment="1" applyProtection="1">
      <alignment horizontal="center" vertical="center"/>
      <protection locked="0" hidden="1"/>
    </xf>
    <xf numFmtId="164" fontId="4" fillId="6" borderId="21" xfId="0" applyNumberFormat="1" applyFont="1" applyFill="1" applyBorder="1" applyAlignment="1" applyProtection="1">
      <alignment horizontal="center" vertical="center"/>
      <protection locked="0" hidden="1"/>
    </xf>
    <xf numFmtId="0" fontId="6" fillId="6" borderId="2" xfId="0" applyFont="1" applyFill="1" applyBorder="1" applyAlignment="1" applyProtection="1">
      <alignment vertical="center"/>
      <protection hidden="1"/>
    </xf>
    <xf numFmtId="0" fontId="16" fillId="0" borderId="5" xfId="0" applyFont="1" applyBorder="1" applyAlignment="1" applyProtection="1">
      <alignment horizontal="center"/>
      <protection hidden="1"/>
    </xf>
    <xf numFmtId="164" fontId="1" fillId="0" borderId="0" xfId="0" applyNumberFormat="1" applyFont="1" applyAlignment="1" applyProtection="1">
      <alignment vertical="center"/>
      <protection hidden="1"/>
    </xf>
    <xf numFmtId="164" fontId="1" fillId="0" borderId="0" xfId="0" quotePrefix="1" applyNumberFormat="1" applyFont="1" applyAlignment="1" applyProtection="1">
      <alignment horizontal="left" vertical="center"/>
      <protection hidden="1"/>
    </xf>
    <xf numFmtId="0" fontId="1" fillId="17" borderId="0" xfId="0" applyFont="1" applyFill="1" applyAlignment="1" applyProtection="1">
      <alignment horizontal="left"/>
      <protection hidden="1"/>
    </xf>
    <xf numFmtId="164" fontId="1" fillId="0" borderId="0" xfId="0" applyNumberFormat="1" applyFont="1" applyAlignment="1" applyProtection="1">
      <alignment horizontal="left" vertical="center"/>
      <protection hidden="1"/>
    </xf>
    <xf numFmtId="164" fontId="5" fillId="0" borderId="0" xfId="0" applyNumberFormat="1" applyFont="1" applyAlignment="1" applyProtection="1">
      <alignment horizontal="left" vertical="center"/>
      <protection hidden="1"/>
    </xf>
    <xf numFmtId="164" fontId="4" fillId="0" borderId="0" xfId="0" applyNumberFormat="1" applyFont="1" applyAlignment="1" applyProtection="1">
      <alignment horizontal="left" vertical="center"/>
      <protection hidden="1"/>
    </xf>
    <xf numFmtId="4" fontId="1" fillId="17" borderId="0" xfId="0" applyNumberFormat="1" applyFont="1" applyFill="1" applyProtection="1">
      <protection hidden="1"/>
    </xf>
    <xf numFmtId="4" fontId="1" fillId="0" borderId="0" xfId="0" applyNumberFormat="1" applyFont="1" applyAlignment="1" applyProtection="1">
      <alignment vertical="center"/>
      <protection hidden="1"/>
    </xf>
    <xf numFmtId="4" fontId="4" fillId="0" borderId="0" xfId="0" applyNumberFormat="1" applyFont="1" applyAlignment="1" applyProtection="1">
      <alignment vertical="center"/>
      <protection hidden="1"/>
    </xf>
    <xf numFmtId="0" fontId="6" fillId="20" borderId="2" xfId="0" applyFont="1" applyFill="1" applyBorder="1" applyProtection="1">
      <protection hidden="1"/>
    </xf>
    <xf numFmtId="0" fontId="6" fillId="20" borderId="3" xfId="0" applyFont="1" applyFill="1" applyBorder="1" applyProtection="1">
      <protection hidden="1"/>
    </xf>
    <xf numFmtId="0" fontId="1" fillId="18" borderId="5" xfId="0" quotePrefix="1" applyFont="1" applyFill="1" applyBorder="1" applyAlignment="1" applyProtection="1">
      <alignment horizontal="center" vertical="center"/>
      <protection hidden="1"/>
    </xf>
    <xf numFmtId="0" fontId="42" fillId="0" borderId="6" xfId="0" applyFont="1" applyBorder="1" applyAlignment="1" applyProtection="1">
      <alignment vertical="center"/>
      <protection hidden="1"/>
    </xf>
    <xf numFmtId="0" fontId="42" fillId="0" borderId="5" xfId="0" applyFont="1" applyBorder="1" applyAlignment="1" applyProtection="1">
      <alignment vertical="center"/>
      <protection hidden="1"/>
    </xf>
    <xf numFmtId="0" fontId="1" fillId="0" borderId="7" xfId="0" applyFont="1" applyBorder="1" applyAlignment="1" applyProtection="1">
      <alignment vertical="top"/>
      <protection hidden="1"/>
    </xf>
    <xf numFmtId="0" fontId="1" fillId="0" borderId="0" xfId="0" applyFont="1" applyAlignment="1" applyProtection="1">
      <alignment vertical="top"/>
      <protection hidden="1"/>
    </xf>
    <xf numFmtId="0" fontId="16" fillId="0" borderId="5" xfId="0" applyFont="1" applyBorder="1" applyProtection="1">
      <protection hidden="1"/>
    </xf>
    <xf numFmtId="0" fontId="16" fillId="0" borderId="0" xfId="0" applyFont="1" applyProtection="1">
      <protection hidden="1"/>
    </xf>
    <xf numFmtId="0" fontId="5" fillId="17" borderId="0" xfId="0" applyFont="1" applyFill="1" applyProtection="1">
      <protection hidden="1"/>
    </xf>
    <xf numFmtId="0" fontId="1" fillId="0" borderId="14" xfId="0" applyFont="1" applyBorder="1" applyProtection="1">
      <protection hidden="1"/>
    </xf>
    <xf numFmtId="0" fontId="1" fillId="19" borderId="0" xfId="0" applyFont="1" applyFill="1" applyAlignment="1" applyProtection="1">
      <alignment vertical="center"/>
      <protection hidden="1"/>
    </xf>
    <xf numFmtId="4" fontId="6" fillId="20" borderId="2" xfId="0" applyNumberFormat="1" applyFont="1" applyFill="1" applyBorder="1" applyAlignment="1" applyProtection="1">
      <alignment horizontal="left" vertical="center"/>
      <protection hidden="1"/>
    </xf>
    <xf numFmtId="4" fontId="6" fillId="20" borderId="3" xfId="0" applyNumberFormat="1" applyFont="1" applyFill="1" applyBorder="1" applyAlignment="1" applyProtection="1">
      <alignment horizontal="left" vertical="center"/>
      <protection hidden="1"/>
    </xf>
    <xf numFmtId="0" fontId="1" fillId="0" borderId="27" xfId="0" quotePrefix="1" applyFont="1" applyBorder="1" applyAlignment="1" applyProtection="1">
      <alignment horizontal="center" vertical="center"/>
      <protection hidden="1"/>
    </xf>
    <xf numFmtId="0" fontId="1" fillId="18" borderId="0" xfId="0" applyFont="1" applyFill="1" applyAlignment="1" applyProtection="1">
      <alignment horizontal="center"/>
      <protection hidden="1"/>
    </xf>
    <xf numFmtId="0" fontId="1" fillId="19" borderId="0" xfId="0" applyFont="1" applyFill="1" applyAlignment="1" applyProtection="1">
      <alignment vertical="top"/>
      <protection hidden="1"/>
    </xf>
    <xf numFmtId="164" fontId="1" fillId="0" borderId="0" xfId="0" quotePrefix="1" applyNumberFormat="1" applyFont="1" applyAlignment="1" applyProtection="1">
      <alignment horizontal="left" vertical="top"/>
      <protection hidden="1"/>
    </xf>
    <xf numFmtId="0" fontId="1" fillId="0" borderId="20" xfId="0" quotePrefix="1" applyFont="1" applyBorder="1" applyAlignment="1" applyProtection="1">
      <alignment horizontal="center" vertical="top"/>
      <protection hidden="1"/>
    </xf>
    <xf numFmtId="0" fontId="1" fillId="17" borderId="0" xfId="0" applyFont="1" applyFill="1" applyAlignment="1" applyProtection="1">
      <alignment vertical="top"/>
      <protection hidden="1"/>
    </xf>
    <xf numFmtId="167" fontId="1" fillId="18" borderId="7" xfId="0" applyNumberFormat="1" applyFont="1" applyFill="1" applyBorder="1" applyProtection="1">
      <protection hidden="1"/>
    </xf>
    <xf numFmtId="0" fontId="6" fillId="20" borderId="2" xfId="0" applyFont="1" applyFill="1" applyBorder="1" applyAlignment="1" applyProtection="1">
      <alignment vertical="center"/>
      <protection hidden="1"/>
    </xf>
    <xf numFmtId="0" fontId="6" fillId="20" borderId="3" xfId="0" applyFont="1" applyFill="1" applyBorder="1" applyAlignment="1" applyProtection="1">
      <alignment vertical="center"/>
      <protection hidden="1"/>
    </xf>
    <xf numFmtId="0" fontId="1" fillId="0" borderId="29" xfId="0" applyFont="1" applyBorder="1" applyProtection="1">
      <protection hidden="1"/>
    </xf>
    <xf numFmtId="0" fontId="1" fillId="20" borderId="3" xfId="0" applyFont="1" applyFill="1" applyBorder="1" applyAlignment="1" applyProtection="1">
      <alignment vertical="center"/>
      <protection hidden="1"/>
    </xf>
    <xf numFmtId="0" fontId="5" fillId="18" borderId="5" xfId="0" applyFont="1" applyFill="1" applyBorder="1" applyAlignment="1" applyProtection="1">
      <alignment horizontal="center"/>
      <protection hidden="1"/>
    </xf>
    <xf numFmtId="0" fontId="1" fillId="6" borderId="3" xfId="0" applyFont="1" applyFill="1" applyBorder="1" applyProtection="1">
      <protection hidden="1"/>
    </xf>
    <xf numFmtId="165" fontId="1" fillId="6" borderId="3" xfId="0" applyNumberFormat="1" applyFont="1" applyFill="1" applyBorder="1" applyProtection="1">
      <protection hidden="1"/>
    </xf>
    <xf numFmtId="0" fontId="1" fillId="6" borderId="3" xfId="0" applyFont="1" applyFill="1" applyBorder="1" applyAlignment="1" applyProtection="1">
      <alignment horizontal="center" vertical="center"/>
      <protection hidden="1"/>
    </xf>
    <xf numFmtId="0" fontId="6" fillId="6" borderId="2" xfId="0" applyFont="1" applyFill="1" applyBorder="1" applyProtection="1">
      <protection hidden="1"/>
    </xf>
    <xf numFmtId="0" fontId="16" fillId="0" borderId="5" xfId="0" applyFont="1" applyBorder="1" applyAlignment="1" applyProtection="1">
      <alignment wrapText="1"/>
      <protection hidden="1"/>
    </xf>
    <xf numFmtId="164" fontId="16" fillId="0" borderId="5" xfId="0" applyNumberFormat="1" applyFont="1" applyBorder="1" applyAlignment="1" applyProtection="1">
      <alignment wrapText="1"/>
      <protection hidden="1"/>
    </xf>
    <xf numFmtId="0" fontId="13" fillId="0" borderId="3" xfId="0" applyFont="1" applyBorder="1" applyAlignment="1" applyProtection="1">
      <alignment vertical="center"/>
      <protection hidden="1"/>
    </xf>
    <xf numFmtId="0" fontId="27" fillId="20" borderId="2" xfId="0" applyFont="1" applyFill="1" applyBorder="1" applyProtection="1">
      <protection hidden="1"/>
    </xf>
    <xf numFmtId="0" fontId="27" fillId="20" borderId="3" xfId="0" applyFont="1" applyFill="1" applyBorder="1" applyProtection="1">
      <protection hidden="1"/>
    </xf>
    <xf numFmtId="0" fontId="4" fillId="18" borderId="5" xfId="0" applyFont="1" applyFill="1" applyBorder="1" applyAlignment="1" applyProtection="1">
      <alignment vertical="center" wrapText="1"/>
      <protection hidden="1"/>
    </xf>
    <xf numFmtId="167" fontId="1" fillId="18" borderId="7" xfId="0" applyNumberFormat="1" applyFont="1" applyFill="1" applyBorder="1" applyAlignment="1" applyProtection="1">
      <alignment horizontal="left"/>
      <protection hidden="1"/>
    </xf>
    <xf numFmtId="0" fontId="0" fillId="19" borderId="23" xfId="0" applyFill="1" applyBorder="1" applyProtection="1">
      <protection hidden="1"/>
    </xf>
    <xf numFmtId="0" fontId="0" fillId="0" borderId="8" xfId="0" applyBorder="1" applyProtection="1">
      <protection hidden="1"/>
    </xf>
    <xf numFmtId="0" fontId="0" fillId="0" borderId="23" xfId="0" applyBorder="1" applyProtection="1">
      <protection hidden="1"/>
    </xf>
    <xf numFmtId="0" fontId="46" fillId="0" borderId="23" xfId="0" applyFont="1" applyBorder="1" applyAlignment="1" applyProtection="1">
      <alignment horizontal="center"/>
      <protection hidden="1"/>
    </xf>
    <xf numFmtId="0" fontId="0" fillId="0" borderId="23" xfId="0" applyBorder="1" applyAlignment="1" applyProtection="1">
      <alignment horizontal="center"/>
      <protection hidden="1"/>
    </xf>
    <xf numFmtId="0" fontId="0" fillId="0" borderId="45" xfId="0" applyBorder="1" applyProtection="1">
      <protection hidden="1"/>
    </xf>
    <xf numFmtId="0" fontId="6" fillId="0" borderId="7" xfId="0" applyFont="1" applyBorder="1" applyAlignment="1" applyProtection="1">
      <alignment horizontal="center"/>
      <protection hidden="1"/>
    </xf>
    <xf numFmtId="0" fontId="6" fillId="0" borderId="0" xfId="0" applyFont="1" applyAlignment="1" applyProtection="1">
      <alignment horizontal="center"/>
      <protection hidden="1"/>
    </xf>
    <xf numFmtId="164" fontId="13" fillId="20" borderId="3" xfId="0" applyNumberFormat="1" applyFont="1" applyFill="1" applyBorder="1" applyAlignment="1" applyProtection="1">
      <alignment horizontal="center"/>
      <protection hidden="1"/>
    </xf>
    <xf numFmtId="0" fontId="1" fillId="20" borderId="2" xfId="0" applyFont="1" applyFill="1" applyBorder="1" applyAlignment="1" applyProtection="1">
      <alignment vertical="center"/>
      <protection hidden="1"/>
    </xf>
    <xf numFmtId="0" fontId="0" fillId="20" borderId="3" xfId="0" applyFill="1" applyBorder="1" applyProtection="1">
      <protection hidden="1"/>
    </xf>
    <xf numFmtId="0" fontId="0" fillId="20" borderId="4" xfId="0" applyFill="1" applyBorder="1" applyProtection="1">
      <protection hidden="1"/>
    </xf>
    <xf numFmtId="0" fontId="1" fillId="20" borderId="2" xfId="0" applyFont="1" applyFill="1" applyBorder="1" applyProtection="1">
      <protection hidden="1"/>
    </xf>
    <xf numFmtId="0" fontId="1" fillId="20" borderId="4" xfId="0" applyFont="1" applyFill="1" applyBorder="1" applyProtection="1">
      <protection hidden="1"/>
    </xf>
    <xf numFmtId="167" fontId="1" fillId="18" borderId="10" xfId="0" applyNumberFormat="1" applyFont="1" applyFill="1" applyBorder="1" applyProtection="1">
      <protection hidden="1"/>
    </xf>
    <xf numFmtId="0" fontId="0" fillId="0" borderId="18" xfId="0" applyBorder="1" applyAlignment="1" applyProtection="1">
      <alignment horizontal="center"/>
      <protection hidden="1"/>
    </xf>
    <xf numFmtId="0" fontId="0" fillId="0" borderId="18" xfId="0" applyBorder="1" applyProtection="1">
      <protection hidden="1"/>
    </xf>
    <xf numFmtId="164" fontId="0" fillId="6" borderId="52" xfId="0" applyNumberFormat="1" applyFill="1" applyBorder="1" applyProtection="1">
      <protection locked="0" hidden="1"/>
    </xf>
    <xf numFmtId="164" fontId="0" fillId="6" borderId="55" xfId="0" applyNumberFormat="1" applyFill="1" applyBorder="1" applyProtection="1">
      <protection locked="0" hidden="1"/>
    </xf>
    <xf numFmtId="0" fontId="0" fillId="0" borderId="25" xfId="0" applyBorder="1" applyProtection="1">
      <protection hidden="1"/>
    </xf>
    <xf numFmtId="0" fontId="46" fillId="0" borderId="7" xfId="0" applyFont="1" applyBorder="1" applyAlignment="1" applyProtection="1">
      <alignment horizontal="center"/>
      <protection hidden="1"/>
    </xf>
    <xf numFmtId="0" fontId="0" fillId="0" borderId="0" xfId="0" applyAlignment="1" applyProtection="1">
      <alignment horizontal="center"/>
      <protection hidden="1"/>
    </xf>
    <xf numFmtId="9" fontId="1" fillId="0" borderId="20" xfId="0" quotePrefix="1" applyNumberFormat="1" applyFont="1" applyBorder="1" applyAlignment="1" applyProtection="1">
      <alignment horizontal="center" vertical="center"/>
      <protection hidden="1"/>
    </xf>
    <xf numFmtId="9" fontId="49" fillId="0" borderId="0" xfId="0" applyNumberFormat="1" applyFont="1" applyAlignment="1" applyProtection="1">
      <alignment horizontal="center" vertical="center"/>
      <protection hidden="1"/>
    </xf>
    <xf numFmtId="9" fontId="50" fillId="0" borderId="0" xfId="0" applyNumberFormat="1" applyFont="1" applyAlignment="1" applyProtection="1">
      <alignment horizontal="center" vertical="center"/>
      <protection hidden="1"/>
    </xf>
    <xf numFmtId="9" fontId="52" fillId="17" borderId="0" xfId="0" applyNumberFormat="1" applyFont="1" applyFill="1" applyProtection="1">
      <protection hidden="1"/>
    </xf>
    <xf numFmtId="9" fontId="49" fillId="0" borderId="0" xfId="0" applyNumberFormat="1" applyFont="1" applyAlignment="1" applyProtection="1">
      <alignment horizontal="left" vertical="center"/>
      <protection hidden="1"/>
    </xf>
    <xf numFmtId="0" fontId="13" fillId="18" borderId="7" xfId="0" applyFont="1" applyFill="1" applyBorder="1" applyAlignment="1" applyProtection="1">
      <alignment horizontal="left"/>
      <protection hidden="1"/>
    </xf>
    <xf numFmtId="0" fontId="13" fillId="18" borderId="0" xfId="0" applyFont="1" applyFill="1" applyAlignment="1" applyProtection="1">
      <alignment horizontal="left"/>
      <protection hidden="1"/>
    </xf>
    <xf numFmtId="0" fontId="1" fillId="18" borderId="7" xfId="0" applyFont="1" applyFill="1" applyBorder="1" applyAlignment="1" applyProtection="1">
      <alignment horizontal="left"/>
      <protection hidden="1"/>
    </xf>
    <xf numFmtId="0" fontId="1" fillId="18" borderId="0" xfId="0" applyFont="1" applyFill="1" applyAlignment="1" applyProtection="1">
      <alignment horizontal="left"/>
      <protection hidden="1"/>
    </xf>
    <xf numFmtId="164" fontId="1" fillId="0" borderId="29" xfId="0" quotePrefix="1" applyNumberFormat="1" applyFont="1" applyBorder="1" applyAlignment="1" applyProtection="1">
      <alignment vertical="center"/>
      <protection hidden="1"/>
    </xf>
    <xf numFmtId="164" fontId="0" fillId="0" borderId="0" xfId="0" applyNumberFormat="1" applyProtection="1">
      <protection hidden="1"/>
    </xf>
    <xf numFmtId="0" fontId="0" fillId="0" borderId="5" xfId="0" applyBorder="1" applyProtection="1">
      <protection hidden="1"/>
    </xf>
    <xf numFmtId="164" fontId="0" fillId="0" borderId="5" xfId="0" applyNumberFormat="1" applyBorder="1" applyProtection="1">
      <protection hidden="1"/>
    </xf>
    <xf numFmtId="0" fontId="5" fillId="0" borderId="60" xfId="0" applyFont="1" applyBorder="1" applyProtection="1">
      <protection hidden="1"/>
    </xf>
    <xf numFmtId="0" fontId="0" fillId="0" borderId="44" xfId="0" applyBorder="1" applyProtection="1">
      <protection hidden="1"/>
    </xf>
    <xf numFmtId="0" fontId="10" fillId="0" borderId="0" xfId="0" applyFont="1" applyProtection="1">
      <protection hidden="1"/>
    </xf>
    <xf numFmtId="0" fontId="5" fillId="0" borderId="54" xfId="0" applyFont="1" applyBorder="1" applyProtection="1">
      <protection hidden="1"/>
    </xf>
    <xf numFmtId="0" fontId="0" fillId="0" borderId="42" xfId="0" applyBorder="1" applyProtection="1">
      <protection hidden="1"/>
    </xf>
    <xf numFmtId="0" fontId="5" fillId="0" borderId="59" xfId="0" applyFont="1" applyBorder="1" applyProtection="1">
      <protection hidden="1"/>
    </xf>
    <xf numFmtId="0" fontId="0" fillId="0" borderId="62" xfId="0" applyBorder="1" applyProtection="1">
      <protection hidden="1"/>
    </xf>
    <xf numFmtId="164" fontId="0" fillId="0" borderId="17" xfId="0" applyNumberFormat="1" applyBorder="1" applyProtection="1">
      <protection hidden="1"/>
    </xf>
    <xf numFmtId="164" fontId="0" fillId="0" borderId="29" xfId="0" applyNumberFormat="1" applyBorder="1" applyProtection="1">
      <protection hidden="1"/>
    </xf>
    <xf numFmtId="164" fontId="0" fillId="0" borderId="13" xfId="0" applyNumberFormat="1" applyBorder="1" applyProtection="1">
      <protection hidden="1"/>
    </xf>
    <xf numFmtId="3" fontId="5" fillId="0" borderId="20" xfId="0" applyNumberFormat="1" applyFont="1" applyBorder="1" applyAlignment="1" applyProtection="1">
      <alignment horizontal="center"/>
      <protection hidden="1"/>
    </xf>
    <xf numFmtId="164" fontId="5" fillId="0" borderId="17" xfId="0" applyNumberFormat="1" applyFont="1" applyBorder="1" applyAlignment="1" applyProtection="1">
      <alignment horizontal="center"/>
      <protection hidden="1"/>
    </xf>
    <xf numFmtId="0" fontId="0" fillId="0" borderId="29" xfId="0" applyBorder="1" applyProtection="1">
      <protection hidden="1"/>
    </xf>
    <xf numFmtId="164" fontId="0" fillId="0" borderId="20" xfId="0" applyNumberFormat="1" applyBorder="1" applyProtection="1">
      <protection hidden="1"/>
    </xf>
    <xf numFmtId="0" fontId="5" fillId="0" borderId="9" xfId="0" applyFont="1" applyBorder="1" applyProtection="1">
      <protection hidden="1"/>
    </xf>
    <xf numFmtId="0" fontId="0" fillId="0" borderId="48" xfId="0" applyBorder="1" applyProtection="1">
      <protection hidden="1"/>
    </xf>
    <xf numFmtId="164" fontId="0" fillId="0" borderId="19" xfId="0" applyNumberFormat="1" applyBorder="1" applyProtection="1">
      <protection hidden="1"/>
    </xf>
    <xf numFmtId="0" fontId="0" fillId="0" borderId="25" xfId="0" applyBorder="1" applyAlignment="1" applyProtection="1">
      <alignment horizontal="left"/>
      <protection hidden="1"/>
    </xf>
    <xf numFmtId="164" fontId="0" fillId="0" borderId="42" xfId="0" applyNumberFormat="1" applyBorder="1" applyProtection="1">
      <protection hidden="1"/>
    </xf>
    <xf numFmtId="0" fontId="0" fillId="0" borderId="37" xfId="0" applyBorder="1" applyAlignment="1" applyProtection="1">
      <alignment horizontal="left"/>
      <protection hidden="1"/>
    </xf>
    <xf numFmtId="0" fontId="0" fillId="0" borderId="63" xfId="0" applyBorder="1" applyProtection="1">
      <protection hidden="1"/>
    </xf>
    <xf numFmtId="0" fontId="0" fillId="0" borderId="51" xfId="0" applyBorder="1" applyProtection="1">
      <protection hidden="1"/>
    </xf>
    <xf numFmtId="0" fontId="0" fillId="0" borderId="37" xfId="0" applyBorder="1" applyProtection="1">
      <protection hidden="1"/>
    </xf>
    <xf numFmtId="0" fontId="5" fillId="0" borderId="6" xfId="0" applyFont="1" applyBorder="1" applyProtection="1">
      <protection hidden="1"/>
    </xf>
    <xf numFmtId="0" fontId="5" fillId="0" borderId="7" xfId="0" applyFont="1" applyBorder="1" applyProtection="1">
      <protection hidden="1"/>
    </xf>
    <xf numFmtId="164" fontId="0" fillId="0" borderId="8" xfId="0" applyNumberFormat="1" applyBorder="1" applyProtection="1">
      <protection hidden="1"/>
    </xf>
    <xf numFmtId="164" fontId="0" fillId="0" borderId="38" xfId="0" applyNumberFormat="1" applyBorder="1" applyAlignment="1" applyProtection="1">
      <alignment horizontal="center"/>
      <protection hidden="1"/>
    </xf>
    <xf numFmtId="164" fontId="0" fillId="0" borderId="34" xfId="0" applyNumberFormat="1" applyBorder="1" applyProtection="1">
      <protection hidden="1"/>
    </xf>
    <xf numFmtId="0" fontId="5" fillId="0" borderId="57" xfId="0" applyFont="1" applyBorder="1" applyProtection="1">
      <protection hidden="1"/>
    </xf>
    <xf numFmtId="0" fontId="1" fillId="0" borderId="25" xfId="0" applyFont="1" applyBorder="1" applyAlignment="1" applyProtection="1">
      <alignment horizontal="left"/>
      <protection hidden="1"/>
    </xf>
    <xf numFmtId="0" fontId="5" fillId="0" borderId="7" xfId="2" applyFont="1" applyBorder="1" applyAlignment="1" applyProtection="1">
      <alignment horizontal="left"/>
      <protection hidden="1"/>
    </xf>
    <xf numFmtId="0" fontId="9" fillId="0" borderId="65" xfId="2" quotePrefix="1" applyBorder="1" applyAlignment="1" applyProtection="1">
      <alignment horizontal="center"/>
      <protection hidden="1"/>
    </xf>
    <xf numFmtId="0" fontId="9" fillId="0" borderId="0" xfId="2" quotePrefix="1" applyAlignment="1" applyProtection="1">
      <alignment horizontal="center"/>
      <protection hidden="1"/>
    </xf>
    <xf numFmtId="0" fontId="5" fillId="0" borderId="0" xfId="0" applyFont="1" applyProtection="1">
      <protection hidden="1"/>
    </xf>
    <xf numFmtId="0" fontId="9" fillId="0" borderId="17" xfId="2" quotePrefix="1" applyBorder="1" applyAlignment="1" applyProtection="1">
      <alignment horizontal="center"/>
      <protection hidden="1"/>
    </xf>
    <xf numFmtId="0" fontId="1" fillId="0" borderId="37" xfId="0" applyFont="1" applyBorder="1" applyProtection="1">
      <protection hidden="1"/>
    </xf>
    <xf numFmtId="0" fontId="1" fillId="0" borderId="37" xfId="0" applyFont="1" applyBorder="1" applyAlignment="1" applyProtection="1">
      <alignment horizontal="left"/>
      <protection hidden="1"/>
    </xf>
    <xf numFmtId="164" fontId="0" fillId="0" borderId="65" xfId="0" applyNumberFormat="1" applyBorder="1" applyProtection="1">
      <protection hidden="1"/>
    </xf>
    <xf numFmtId="164" fontId="1" fillId="0" borderId="17" xfId="1" quotePrefix="1" applyNumberFormat="1" applyFont="1" applyFill="1" applyBorder="1" applyAlignment="1" applyProtection="1">
      <alignment horizontal="center"/>
      <protection hidden="1"/>
    </xf>
    <xf numFmtId="0" fontId="9" fillId="0" borderId="8" xfId="2" quotePrefix="1" applyBorder="1" applyAlignment="1" applyProtection="1">
      <alignment horizontal="center"/>
      <protection hidden="1"/>
    </xf>
    <xf numFmtId="0" fontId="5" fillId="0" borderId="7" xfId="2" applyFont="1" applyBorder="1" applyProtection="1">
      <protection hidden="1"/>
    </xf>
    <xf numFmtId="3" fontId="0" fillId="0" borderId="20" xfId="0" applyNumberFormat="1" applyBorder="1" applyProtection="1">
      <protection hidden="1"/>
    </xf>
    <xf numFmtId="164" fontId="0" fillId="0" borderId="63" xfId="0" applyNumberFormat="1" applyBorder="1" applyProtection="1">
      <protection hidden="1"/>
    </xf>
    <xf numFmtId="0" fontId="16" fillId="0" borderId="7" xfId="2" applyFont="1" applyBorder="1" applyAlignment="1" applyProtection="1">
      <alignment horizontal="left"/>
      <protection hidden="1"/>
    </xf>
    <xf numFmtId="0" fontId="1" fillId="0" borderId="14" xfId="0" applyFont="1" applyBorder="1" applyAlignment="1" applyProtection="1">
      <alignment horizontal="left"/>
      <protection hidden="1"/>
    </xf>
    <xf numFmtId="164" fontId="9" fillId="0" borderId="20" xfId="1" applyNumberFormat="1" applyFont="1" applyFill="1" applyBorder="1" applyAlignment="1" applyProtection="1">
      <alignment horizontal="center"/>
      <protection hidden="1"/>
    </xf>
    <xf numFmtId="0" fontId="0" fillId="0" borderId="14" xfId="0" applyBorder="1" applyProtection="1">
      <protection hidden="1"/>
    </xf>
    <xf numFmtId="0" fontId="1" fillId="0" borderId="17" xfId="2" quotePrefix="1" applyFont="1" applyBorder="1" applyAlignment="1" applyProtection="1">
      <alignment horizontal="center"/>
      <protection hidden="1"/>
    </xf>
    <xf numFmtId="0" fontId="5" fillId="0" borderId="54" xfId="0" applyFont="1" applyBorder="1" applyAlignment="1" applyProtection="1">
      <alignment horizontal="left"/>
      <protection hidden="1"/>
    </xf>
    <xf numFmtId="0" fontId="5" fillId="0" borderId="14" xfId="0" applyFont="1" applyBorder="1" applyAlignment="1" applyProtection="1">
      <alignment horizontal="left"/>
      <protection hidden="1"/>
    </xf>
    <xf numFmtId="164" fontId="1" fillId="0" borderId="20" xfId="0" applyNumberFormat="1" applyFont="1" applyBorder="1" applyProtection="1">
      <protection hidden="1"/>
    </xf>
    <xf numFmtId="0" fontId="1" fillId="0" borderId="17" xfId="2" applyFont="1" applyBorder="1" applyAlignment="1" applyProtection="1">
      <alignment horizontal="center"/>
      <protection hidden="1"/>
    </xf>
    <xf numFmtId="164" fontId="0" fillId="18" borderId="20" xfId="0" applyNumberFormat="1" applyFill="1" applyBorder="1" applyProtection="1">
      <protection hidden="1"/>
    </xf>
    <xf numFmtId="164" fontId="1" fillId="18" borderId="20" xfId="0" applyNumberFormat="1" applyFont="1" applyFill="1" applyBorder="1" applyProtection="1">
      <protection hidden="1"/>
    </xf>
    <xf numFmtId="0" fontId="5" fillId="0" borderId="9" xfId="2" applyFont="1" applyBorder="1" applyAlignment="1" applyProtection="1">
      <alignment horizontal="left"/>
      <protection hidden="1"/>
    </xf>
    <xf numFmtId="164" fontId="9" fillId="0" borderId="22" xfId="1" applyNumberFormat="1" applyFont="1" applyFill="1" applyBorder="1" applyAlignment="1" applyProtection="1">
      <alignment horizontal="center"/>
      <protection hidden="1"/>
    </xf>
    <xf numFmtId="0" fontId="9" fillId="0" borderId="19" xfId="2" quotePrefix="1" applyBorder="1" applyAlignment="1" applyProtection="1">
      <alignment horizontal="center"/>
      <protection hidden="1"/>
    </xf>
    <xf numFmtId="0" fontId="5" fillId="0" borderId="67" xfId="0" applyFont="1" applyBorder="1" applyAlignment="1" applyProtection="1">
      <alignment horizontal="left"/>
      <protection hidden="1"/>
    </xf>
    <xf numFmtId="0" fontId="5" fillId="0" borderId="18" xfId="0" applyFont="1" applyBorder="1" applyAlignment="1" applyProtection="1">
      <alignment horizontal="left"/>
      <protection hidden="1"/>
    </xf>
    <xf numFmtId="0" fontId="0" fillId="0" borderId="43" xfId="0" applyBorder="1" applyProtection="1">
      <protection hidden="1"/>
    </xf>
    <xf numFmtId="164" fontId="0" fillId="18" borderId="22" xfId="0" applyNumberFormat="1" applyFill="1" applyBorder="1" applyProtection="1">
      <protection hidden="1"/>
    </xf>
    <xf numFmtId="0" fontId="5" fillId="0" borderId="0" xfId="2" applyFont="1" applyAlignment="1" applyProtection="1">
      <alignment horizontal="left"/>
      <protection hidden="1"/>
    </xf>
    <xf numFmtId="164" fontId="9" fillId="0" borderId="5" xfId="1" applyNumberFormat="1" applyFont="1" applyFill="1" applyBorder="1" applyAlignment="1" applyProtection="1">
      <alignment horizontal="center"/>
      <protection hidden="1"/>
    </xf>
    <xf numFmtId="0" fontId="5" fillId="0" borderId="8" xfId="0" applyFont="1" applyBorder="1" applyProtection="1">
      <protection hidden="1"/>
    </xf>
    <xf numFmtId="0" fontId="5" fillId="0" borderId="68" xfId="0" applyFont="1" applyBorder="1" applyProtection="1">
      <protection hidden="1"/>
    </xf>
    <xf numFmtId="164" fontId="0" fillId="0" borderId="7" xfId="0" applyNumberFormat="1" applyBorder="1" applyAlignment="1" applyProtection="1">
      <alignment horizontal="right"/>
      <protection hidden="1"/>
    </xf>
    <xf numFmtId="164" fontId="0" fillId="0" borderId="0" xfId="0" applyNumberFormat="1" applyAlignment="1" applyProtection="1">
      <alignment horizontal="right"/>
      <protection hidden="1"/>
    </xf>
    <xf numFmtId="0" fontId="5" fillId="0" borderId="48" xfId="0" applyFont="1" applyBorder="1" applyProtection="1">
      <protection hidden="1"/>
    </xf>
    <xf numFmtId="0" fontId="16" fillId="0" borderId="7" xfId="0" applyFont="1" applyBorder="1" applyAlignment="1" applyProtection="1">
      <alignment horizontal="left"/>
      <protection hidden="1"/>
    </xf>
    <xf numFmtId="0" fontId="20" fillId="0" borderId="0" xfId="0" applyFont="1" applyAlignment="1" applyProtection="1">
      <alignment vertical="center"/>
      <protection hidden="1"/>
    </xf>
    <xf numFmtId="0" fontId="20" fillId="0" borderId="0" xfId="0" applyFont="1" applyAlignment="1" applyProtection="1">
      <alignment horizontal="center" vertical="center"/>
      <protection hidden="1"/>
    </xf>
    <xf numFmtId="164" fontId="0" fillId="0" borderId="10" xfId="0" applyNumberFormat="1" applyBorder="1" applyProtection="1">
      <protection hidden="1"/>
    </xf>
    <xf numFmtId="0" fontId="0" fillId="0" borderId="68" xfId="0" applyBorder="1" applyProtection="1">
      <protection hidden="1"/>
    </xf>
    <xf numFmtId="167" fontId="1" fillId="17" borderId="0" xfId="0" applyNumberFormat="1" applyFont="1" applyFill="1" applyProtection="1">
      <protection hidden="1"/>
    </xf>
    <xf numFmtId="0" fontId="13" fillId="23" borderId="9" xfId="0" applyFont="1" applyFill="1" applyBorder="1" applyAlignment="1" applyProtection="1">
      <alignment horizontal="center" vertical="top" wrapText="1"/>
      <protection hidden="1"/>
    </xf>
    <xf numFmtId="0" fontId="13" fillId="23" borderId="9" xfId="0" applyFont="1" applyFill="1" applyBorder="1" applyProtection="1">
      <protection hidden="1"/>
    </xf>
    <xf numFmtId="0" fontId="13" fillId="23" borderId="10" xfId="0" applyFont="1" applyFill="1" applyBorder="1" applyProtection="1">
      <protection hidden="1"/>
    </xf>
    <xf numFmtId="0" fontId="13" fillId="23" borderId="12" xfId="0" applyFont="1" applyFill="1" applyBorder="1" applyProtection="1">
      <protection hidden="1"/>
    </xf>
    <xf numFmtId="164" fontId="5" fillId="18" borderId="11" xfId="0" applyNumberFormat="1" applyFont="1" applyFill="1" applyBorder="1" applyAlignment="1" applyProtection="1">
      <alignment horizontal="center" vertical="center"/>
      <protection hidden="1"/>
    </xf>
    <xf numFmtId="164" fontId="1" fillId="18" borderId="11" xfId="0" quotePrefix="1" applyNumberFormat="1" applyFont="1" applyFill="1" applyBorder="1" applyAlignment="1" applyProtection="1">
      <alignment horizontal="center" vertical="center"/>
      <protection hidden="1"/>
    </xf>
    <xf numFmtId="0" fontId="13" fillId="20" borderId="3" xfId="0" applyFont="1" applyFill="1" applyBorder="1" applyProtection="1">
      <protection hidden="1"/>
    </xf>
    <xf numFmtId="0" fontId="1" fillId="20" borderId="2" xfId="0" applyFont="1" applyFill="1" applyBorder="1" applyAlignment="1" applyProtection="1">
      <alignment horizontal="left" vertical="center"/>
      <protection hidden="1"/>
    </xf>
    <xf numFmtId="164" fontId="6" fillId="20" borderId="4" xfId="0" applyNumberFormat="1" applyFont="1" applyFill="1" applyBorder="1" applyAlignment="1" applyProtection="1">
      <alignment vertical="center"/>
      <protection hidden="1"/>
    </xf>
    <xf numFmtId="164" fontId="13" fillId="0" borderId="4" xfId="0" applyNumberFormat="1" applyFont="1" applyBorder="1" applyAlignment="1" applyProtection="1">
      <alignment vertical="center"/>
      <protection hidden="1"/>
    </xf>
    <xf numFmtId="164" fontId="27" fillId="20" borderId="4" xfId="0" applyNumberFormat="1" applyFont="1" applyFill="1" applyBorder="1" applyProtection="1">
      <protection hidden="1"/>
    </xf>
    <xf numFmtId="164" fontId="16" fillId="0" borderId="11" xfId="0" applyNumberFormat="1" applyFont="1" applyBorder="1" applyAlignment="1" applyProtection="1">
      <alignment horizontal="center"/>
      <protection hidden="1"/>
    </xf>
    <xf numFmtId="164" fontId="42" fillId="0" borderId="11" xfId="0" applyNumberFormat="1" applyFont="1" applyBorder="1" applyAlignment="1" applyProtection="1">
      <alignment horizontal="center" vertical="center"/>
      <protection hidden="1"/>
    </xf>
    <xf numFmtId="164" fontId="4" fillId="0" borderId="8" xfId="0" applyNumberFormat="1" applyFont="1" applyBorder="1" applyProtection="1">
      <protection hidden="1"/>
    </xf>
    <xf numFmtId="164" fontId="1" fillId="17" borderId="0" xfId="0" applyNumberFormat="1" applyFont="1" applyFill="1" applyAlignment="1" applyProtection="1">
      <alignment horizontal="center"/>
      <protection hidden="1"/>
    </xf>
    <xf numFmtId="164" fontId="4" fillId="0" borderId="8" xfId="0" applyNumberFormat="1" applyFont="1" applyBorder="1" applyAlignment="1" applyProtection="1">
      <alignment horizontal="center"/>
      <protection hidden="1"/>
    </xf>
    <xf numFmtId="164" fontId="0" fillId="0" borderId="17" xfId="0" applyNumberFormat="1" applyBorder="1" applyAlignment="1" applyProtection="1">
      <alignment horizontal="center"/>
      <protection hidden="1"/>
    </xf>
    <xf numFmtId="167" fontId="0" fillId="17" borderId="0" xfId="0" applyNumberFormat="1" applyFill="1" applyProtection="1">
      <protection hidden="1"/>
    </xf>
    <xf numFmtId="167" fontId="4" fillId="17" borderId="0" xfId="0" applyNumberFormat="1" applyFont="1" applyFill="1" applyProtection="1">
      <protection hidden="1"/>
    </xf>
    <xf numFmtId="0" fontId="0" fillId="0" borderId="6" xfId="0" applyBorder="1" applyProtection="1">
      <protection hidden="1"/>
    </xf>
    <xf numFmtId="0" fontId="5" fillId="18" borderId="6" xfId="0" applyFont="1" applyFill="1" applyBorder="1" applyProtection="1">
      <protection hidden="1"/>
    </xf>
    <xf numFmtId="0" fontId="5" fillId="18" borderId="5" xfId="0" applyFont="1" applyFill="1" applyBorder="1" applyProtection="1">
      <protection hidden="1"/>
    </xf>
    <xf numFmtId="0" fontId="13" fillId="17" borderId="7" xfId="0" applyFont="1" applyFill="1" applyBorder="1"/>
    <xf numFmtId="164" fontId="1" fillId="18" borderId="36" xfId="0" applyNumberFormat="1" applyFont="1" applyFill="1" applyBorder="1" applyAlignment="1" applyProtection="1">
      <alignment vertical="center"/>
      <protection hidden="1"/>
    </xf>
    <xf numFmtId="0" fontId="0" fillId="0" borderId="72" xfId="0" applyBorder="1"/>
    <xf numFmtId="165" fontId="1" fillId="0" borderId="12" xfId="0" applyNumberFormat="1" applyFont="1" applyBorder="1"/>
    <xf numFmtId="0" fontId="0" fillId="0" borderId="44" xfId="0" applyBorder="1"/>
    <xf numFmtId="164" fontId="1" fillId="0" borderId="29" xfId="0" quotePrefix="1" applyNumberFormat="1" applyFont="1" applyBorder="1" applyAlignment="1" applyProtection="1">
      <alignment horizontal="left" vertical="center"/>
      <protection hidden="1"/>
    </xf>
    <xf numFmtId="164" fontId="1" fillId="18" borderId="29" xfId="0" applyNumberFormat="1" applyFont="1" applyFill="1" applyBorder="1" applyAlignment="1" applyProtection="1">
      <alignment vertical="center"/>
      <protection hidden="1"/>
    </xf>
    <xf numFmtId="164" fontId="5" fillId="11" borderId="4" xfId="0" applyNumberFormat="1" applyFont="1" applyFill="1" applyBorder="1" applyAlignment="1">
      <alignment horizontal="left"/>
    </xf>
    <xf numFmtId="0" fontId="5" fillId="11" borderId="10" xfId="0" applyFont="1" applyFill="1" applyBorder="1"/>
    <xf numFmtId="164" fontId="5" fillId="10" borderId="4" xfId="0" applyNumberFormat="1" applyFont="1" applyFill="1" applyBorder="1" applyAlignment="1">
      <alignment horizontal="left"/>
    </xf>
    <xf numFmtId="164" fontId="5" fillId="13" borderId="4" xfId="0" applyNumberFormat="1" applyFont="1" applyFill="1" applyBorder="1" applyAlignment="1">
      <alignment horizontal="left"/>
    </xf>
    <xf numFmtId="164" fontId="5" fillId="12" borderId="4" xfId="0" applyNumberFormat="1" applyFont="1" applyFill="1" applyBorder="1" applyAlignment="1">
      <alignment horizontal="left"/>
    </xf>
    <xf numFmtId="164" fontId="5" fillId="14" borderId="1" xfId="0" applyNumberFormat="1" applyFont="1" applyFill="1" applyBorder="1" applyAlignment="1">
      <alignment horizontal="left"/>
    </xf>
    <xf numFmtId="164" fontId="5" fillId="14" borderId="4" xfId="0" applyNumberFormat="1" applyFont="1" applyFill="1" applyBorder="1" applyAlignment="1">
      <alignment horizontal="left"/>
    </xf>
    <xf numFmtId="0" fontId="5" fillId="14" borderId="10" xfId="0" applyFont="1" applyFill="1" applyBorder="1"/>
    <xf numFmtId="164" fontId="5" fillId="15" borderId="4" xfId="0" applyNumberFormat="1" applyFont="1" applyFill="1" applyBorder="1" applyAlignment="1">
      <alignment horizontal="left"/>
    </xf>
    <xf numFmtId="0" fontId="5" fillId="15" borderId="10" xfId="0" applyFont="1" applyFill="1" applyBorder="1"/>
    <xf numFmtId="164" fontId="5" fillId="11" borderId="4" xfId="0" applyNumberFormat="1" applyFont="1" applyFill="1" applyBorder="1"/>
    <xf numFmtId="164" fontId="5" fillId="10" borderId="4" xfId="0" applyNumberFormat="1" applyFont="1" applyFill="1" applyBorder="1"/>
    <xf numFmtId="0" fontId="5" fillId="13" borderId="0" xfId="0" applyFont="1" applyFill="1"/>
    <xf numFmtId="164" fontId="5" fillId="13" borderId="4" xfId="0" applyNumberFormat="1" applyFont="1" applyFill="1" applyBorder="1"/>
    <xf numFmtId="164" fontId="5" fillId="12" borderId="4" xfId="0" applyNumberFormat="1" applyFont="1" applyFill="1" applyBorder="1"/>
    <xf numFmtId="164" fontId="5" fillId="14" borderId="4" xfId="0" applyNumberFormat="1" applyFont="1" applyFill="1" applyBorder="1"/>
    <xf numFmtId="164" fontId="5" fillId="15" borderId="4" xfId="0" applyNumberFormat="1" applyFont="1" applyFill="1" applyBorder="1"/>
    <xf numFmtId="164" fontId="5" fillId="9" borderId="1" xfId="0" applyNumberFormat="1" applyFont="1" applyFill="1" applyBorder="1" applyAlignment="1">
      <alignment horizontal="left"/>
    </xf>
    <xf numFmtId="164" fontId="5" fillId="9" borderId="1" xfId="0" applyNumberFormat="1" applyFont="1" applyFill="1" applyBorder="1"/>
    <xf numFmtId="0" fontId="5" fillId="9" borderId="10" xfId="0" applyFont="1" applyFill="1" applyBorder="1"/>
    <xf numFmtId="164" fontId="5" fillId="8" borderId="1" xfId="0" applyNumberFormat="1" applyFont="1" applyFill="1" applyBorder="1" applyAlignment="1">
      <alignment horizontal="left"/>
    </xf>
    <xf numFmtId="164" fontId="5" fillId="8" borderId="1" xfId="0" applyNumberFormat="1" applyFont="1" applyFill="1" applyBorder="1"/>
    <xf numFmtId="0" fontId="5" fillId="8" borderId="10" xfId="0" applyFont="1" applyFill="1" applyBorder="1"/>
    <xf numFmtId="164" fontId="5" fillId="11" borderId="1" xfId="0" applyNumberFormat="1" applyFont="1" applyFill="1" applyBorder="1" applyAlignment="1">
      <alignment horizontal="left"/>
    </xf>
    <xf numFmtId="164" fontId="5" fillId="10" borderId="1" xfId="0" applyNumberFormat="1" applyFont="1" applyFill="1" applyBorder="1" applyAlignment="1">
      <alignment horizontal="left"/>
    </xf>
    <xf numFmtId="164" fontId="5" fillId="13" borderId="1" xfId="0" applyNumberFormat="1" applyFont="1" applyFill="1" applyBorder="1" applyAlignment="1">
      <alignment horizontal="left"/>
    </xf>
    <xf numFmtId="164" fontId="5" fillId="12" borderId="1" xfId="0" applyNumberFormat="1" applyFont="1" applyFill="1" applyBorder="1" applyAlignment="1">
      <alignment horizontal="left"/>
    </xf>
    <xf numFmtId="0" fontId="5" fillId="11" borderId="1" xfId="0" applyFont="1" applyFill="1" applyBorder="1"/>
    <xf numFmtId="164" fontId="5" fillId="11" borderId="1" xfId="0" applyNumberFormat="1" applyFont="1" applyFill="1" applyBorder="1"/>
    <xf numFmtId="0" fontId="5" fillId="10" borderId="1" xfId="0" applyFont="1" applyFill="1" applyBorder="1"/>
    <xf numFmtId="164" fontId="5" fillId="10" borderId="1" xfId="0" applyNumberFormat="1" applyFont="1" applyFill="1" applyBorder="1"/>
    <xf numFmtId="0" fontId="5" fillId="13" borderId="1" xfId="0" applyFont="1" applyFill="1" applyBorder="1"/>
    <xf numFmtId="164" fontId="5" fillId="13" borderId="1" xfId="0" applyNumberFormat="1" applyFont="1" applyFill="1" applyBorder="1"/>
    <xf numFmtId="0" fontId="5" fillId="12" borderId="1" xfId="0" applyFont="1" applyFill="1" applyBorder="1"/>
    <xf numFmtId="164" fontId="5" fillId="12" borderId="1" xfId="0" applyNumberFormat="1" applyFont="1" applyFill="1" applyBorder="1"/>
    <xf numFmtId="0" fontId="5" fillId="10" borderId="10" xfId="0" applyFont="1" applyFill="1" applyBorder="1" applyAlignment="1">
      <alignment horizontal="right"/>
    </xf>
    <xf numFmtId="0" fontId="5" fillId="13" borderId="7" xfId="0" applyFont="1" applyFill="1" applyBorder="1"/>
    <xf numFmtId="164" fontId="5" fillId="13" borderId="24" xfId="0" applyNumberFormat="1" applyFont="1" applyFill="1" applyBorder="1" applyAlignment="1">
      <alignment horizontal="left"/>
    </xf>
    <xf numFmtId="0" fontId="5" fillId="13" borderId="0" xfId="0" applyFont="1" applyFill="1" applyAlignment="1">
      <alignment horizontal="right"/>
    </xf>
    <xf numFmtId="0" fontId="5" fillId="12" borderId="10" xfId="0" applyFont="1" applyFill="1" applyBorder="1" applyAlignment="1">
      <alignment horizontal="right"/>
    </xf>
    <xf numFmtId="0" fontId="5" fillId="14" borderId="10" xfId="0" applyFont="1" applyFill="1" applyBorder="1" applyAlignment="1">
      <alignment horizontal="right"/>
    </xf>
    <xf numFmtId="164" fontId="5" fillId="15" borderId="1" xfId="0" applyNumberFormat="1" applyFont="1" applyFill="1" applyBorder="1" applyAlignment="1">
      <alignment horizontal="left"/>
    </xf>
    <xf numFmtId="0" fontId="5" fillId="15" borderId="10" xfId="0" applyFont="1" applyFill="1" applyBorder="1" applyAlignment="1">
      <alignment horizontal="right"/>
    </xf>
    <xf numFmtId="0" fontId="5" fillId="9" borderId="10" xfId="0" applyFont="1" applyFill="1" applyBorder="1" applyAlignment="1">
      <alignment horizontal="right"/>
    </xf>
    <xf numFmtId="0" fontId="5" fillId="8" borderId="10" xfId="0" applyFont="1" applyFill="1" applyBorder="1" applyAlignment="1">
      <alignment horizontal="right"/>
    </xf>
    <xf numFmtId="0" fontId="5" fillId="16" borderId="7" xfId="0" applyFont="1" applyFill="1" applyBorder="1"/>
    <xf numFmtId="164" fontId="5" fillId="16" borderId="1" xfId="0" applyNumberFormat="1" applyFont="1" applyFill="1" applyBorder="1" applyAlignment="1">
      <alignment horizontal="left"/>
    </xf>
    <xf numFmtId="0" fontId="5" fillId="16" borderId="0" xfId="0" applyFont="1" applyFill="1" applyAlignment="1">
      <alignment horizontal="right"/>
    </xf>
    <xf numFmtId="0" fontId="5" fillId="16" borderId="0" xfId="0" applyFont="1" applyFill="1"/>
    <xf numFmtId="0" fontId="5" fillId="10" borderId="15" xfId="0" applyFont="1" applyFill="1" applyBorder="1"/>
    <xf numFmtId="0" fontId="5" fillId="13" borderId="15" xfId="0" applyFont="1" applyFill="1" applyBorder="1"/>
    <xf numFmtId="0" fontId="5" fillId="13" borderId="10" xfId="0" applyFont="1" applyFill="1" applyBorder="1" applyAlignment="1">
      <alignment horizontal="right"/>
    </xf>
    <xf numFmtId="0" fontId="5" fillId="12" borderId="15" xfId="0" applyFont="1" applyFill="1" applyBorder="1"/>
    <xf numFmtId="0" fontId="5" fillId="15" borderId="15" xfId="0" applyFont="1" applyFill="1" applyBorder="1"/>
    <xf numFmtId="0" fontId="5" fillId="9" borderId="15" xfId="0" applyFont="1" applyFill="1" applyBorder="1"/>
    <xf numFmtId="164" fontId="5" fillId="9" borderId="4" xfId="0" applyNumberFormat="1" applyFont="1" applyFill="1" applyBorder="1" applyAlignment="1">
      <alignment horizontal="left"/>
    </xf>
    <xf numFmtId="0" fontId="5" fillId="8" borderId="15" xfId="0" applyFont="1" applyFill="1" applyBorder="1"/>
    <xf numFmtId="164" fontId="5" fillId="8" borderId="4" xfId="0" applyNumberFormat="1" applyFont="1" applyFill="1" applyBorder="1" applyAlignment="1">
      <alignment horizontal="left"/>
    </xf>
    <xf numFmtId="0" fontId="5" fillId="11" borderId="15" xfId="0" applyFont="1" applyFill="1" applyBorder="1"/>
    <xf numFmtId="0" fontId="5" fillId="2" borderId="30" xfId="0" applyFont="1" applyFill="1" applyBorder="1" applyAlignment="1">
      <alignment horizontal="center"/>
    </xf>
    <xf numFmtId="0" fontId="5" fillId="2" borderId="20" xfId="0" applyFont="1" applyFill="1" applyBorder="1" applyAlignment="1">
      <alignment horizontal="center"/>
    </xf>
    <xf numFmtId="0" fontId="5" fillId="0" borderId="0" xfId="2" applyFont="1"/>
    <xf numFmtId="44" fontId="5" fillId="0" borderId="0" xfId="1" applyFont="1"/>
    <xf numFmtId="0" fontId="9" fillId="0" borderId="7" xfId="2" applyBorder="1" applyAlignment="1">
      <alignment horizontal="left"/>
    </xf>
    <xf numFmtId="0" fontId="9" fillId="0" borderId="29" xfId="2" applyBorder="1" applyAlignment="1">
      <alignment horizontal="left"/>
    </xf>
    <xf numFmtId="0" fontId="9" fillId="4" borderId="4" xfId="2" applyFill="1" applyBorder="1" applyAlignment="1">
      <alignment horizontal="center" vertical="center" wrapText="1"/>
    </xf>
    <xf numFmtId="0" fontId="9" fillId="0" borderId="7" xfId="2" applyBorder="1"/>
    <xf numFmtId="0" fontId="9" fillId="0" borderId="29" xfId="2" applyBorder="1"/>
    <xf numFmtId="0" fontId="19" fillId="0" borderId="7" xfId="2" applyFont="1" applyBorder="1"/>
    <xf numFmtId="44" fontId="9" fillId="4" borderId="24" xfId="1" applyFont="1" applyFill="1" applyBorder="1" applyAlignment="1">
      <alignment horizontal="center" vertical="center"/>
    </xf>
    <xf numFmtId="0" fontId="1" fillId="0" borderId="7" xfId="2" applyFont="1" applyBorder="1"/>
    <xf numFmtId="0" fontId="1" fillId="0" borderId="29" xfId="2" applyFont="1" applyBorder="1"/>
    <xf numFmtId="0" fontId="17" fillId="0" borderId="7" xfId="2" applyFont="1" applyBorder="1"/>
    <xf numFmtId="0" fontId="17" fillId="0" borderId="29" xfId="2" applyFont="1" applyBorder="1"/>
    <xf numFmtId="0" fontId="0" fillId="0" borderId="10" xfId="0" applyBorder="1" applyAlignment="1">
      <alignment horizontal="center"/>
    </xf>
    <xf numFmtId="0" fontId="8" fillId="4" borderId="2" xfId="0" applyFont="1" applyFill="1" applyBorder="1"/>
    <xf numFmtId="0" fontId="8" fillId="4" borderId="3" xfId="0" applyFont="1" applyFill="1" applyBorder="1"/>
    <xf numFmtId="0" fontId="8" fillId="4" borderId="4" xfId="0" applyFont="1" applyFill="1" applyBorder="1"/>
    <xf numFmtId="0" fontId="9" fillId="0" borderId="6" xfId="2" applyBorder="1"/>
    <xf numFmtId="0" fontId="9" fillId="0" borderId="68" xfId="2" applyBorder="1"/>
    <xf numFmtId="0" fontId="17" fillId="0" borderId="9" xfId="2" applyFont="1" applyBorder="1"/>
    <xf numFmtId="44" fontId="9" fillId="0" borderId="44" xfId="1" applyFont="1" applyFill="1" applyBorder="1" applyAlignment="1">
      <alignment horizontal="center"/>
    </xf>
    <xf numFmtId="0" fontId="9" fillId="0" borderId="70" xfId="2" quotePrefix="1" applyBorder="1" applyAlignment="1">
      <alignment horizontal="center"/>
    </xf>
    <xf numFmtId="0" fontId="9" fillId="2" borderId="70" xfId="2" applyFill="1" applyBorder="1"/>
    <xf numFmtId="44" fontId="9" fillId="0" borderId="30" xfId="1" applyFont="1" applyFill="1" applyBorder="1"/>
    <xf numFmtId="0" fontId="9" fillId="2" borderId="44" xfId="2" applyFill="1" applyBorder="1"/>
    <xf numFmtId="44" fontId="9" fillId="0" borderId="38" xfId="1" applyFont="1" applyFill="1" applyBorder="1"/>
    <xf numFmtId="0" fontId="6" fillId="0" borderId="10" xfId="2" applyFont="1" applyBorder="1" applyAlignment="1">
      <alignment horizontal="right"/>
    </xf>
    <xf numFmtId="0" fontId="9" fillId="18" borderId="18" xfId="2" applyFill="1" applyBorder="1"/>
    <xf numFmtId="0" fontId="9" fillId="4" borderId="24" xfId="2" applyFill="1" applyBorder="1" applyAlignment="1">
      <alignment horizontal="center" vertical="center" wrapText="1"/>
    </xf>
    <xf numFmtId="0" fontId="9" fillId="4" borderId="11" xfId="2" applyFill="1" applyBorder="1" applyAlignment="1">
      <alignment horizontal="center" vertical="center" wrapText="1"/>
    </xf>
    <xf numFmtId="0" fontId="9" fillId="0" borderId="18" xfId="2" quotePrefix="1" applyBorder="1" applyAlignment="1">
      <alignment horizontal="center"/>
    </xf>
    <xf numFmtId="0" fontId="9" fillId="18" borderId="45" xfId="2" applyFill="1" applyBorder="1"/>
    <xf numFmtId="0" fontId="9" fillId="0" borderId="0" xfId="2" quotePrefix="1" applyAlignment="1">
      <alignment horizontal="center"/>
    </xf>
    <xf numFmtId="0" fontId="9" fillId="18" borderId="0" xfId="2" applyFill="1"/>
    <xf numFmtId="44" fontId="9" fillId="18" borderId="5" xfId="1" applyFont="1" applyFill="1" applyBorder="1"/>
    <xf numFmtId="0" fontId="9" fillId="18" borderId="5" xfId="2" applyFill="1" applyBorder="1"/>
    <xf numFmtId="0" fontId="17" fillId="0" borderId="0" xfId="2" applyFont="1"/>
    <xf numFmtId="0" fontId="17" fillId="0" borderId="5" xfId="2" applyFont="1" applyBorder="1"/>
    <xf numFmtId="44" fontId="9" fillId="0" borderId="37" xfId="1" applyFont="1" applyFill="1" applyBorder="1" applyAlignment="1">
      <alignment horizontal="center"/>
    </xf>
    <xf numFmtId="0" fontId="9" fillId="0" borderId="64" xfId="2" quotePrefix="1" applyBorder="1" applyAlignment="1">
      <alignment horizontal="center"/>
    </xf>
    <xf numFmtId="0" fontId="9" fillId="2" borderId="64" xfId="2" applyFill="1" applyBorder="1"/>
    <xf numFmtId="0" fontId="9" fillId="2" borderId="37" xfId="2" applyFill="1" applyBorder="1"/>
    <xf numFmtId="44" fontId="9" fillId="0" borderId="65" xfId="1" applyFont="1" applyFill="1" applyBorder="1"/>
    <xf numFmtId="0" fontId="0" fillId="0" borderId="0" xfId="0" applyAlignment="1">
      <alignment horizontal="center"/>
    </xf>
    <xf numFmtId="0" fontId="0" fillId="0" borderId="7" xfId="0" applyBorder="1" applyAlignment="1">
      <alignment horizontal="center"/>
    </xf>
    <xf numFmtId="0" fontId="0" fillId="3" borderId="3" xfId="0" applyFill="1" applyBorder="1" applyAlignment="1">
      <alignment horizontal="center"/>
    </xf>
    <xf numFmtId="0" fontId="6" fillId="0" borderId="7" xfId="0" applyFont="1" applyBorder="1"/>
    <xf numFmtId="4" fontId="1" fillId="0" borderId="0" xfId="0" applyNumberFormat="1" applyFont="1"/>
    <xf numFmtId="0" fontId="0" fillId="2" borderId="1" xfId="0" applyFill="1" applyBorder="1" applyAlignment="1">
      <alignment horizontal="center"/>
    </xf>
    <xf numFmtId="165" fontId="1" fillId="22" borderId="4" xfId="0" applyNumberFormat="1" applyFont="1" applyFill="1" applyBorder="1"/>
    <xf numFmtId="0" fontId="0" fillId="0" borderId="5" xfId="0" applyBorder="1" applyAlignment="1">
      <alignment horizontal="center"/>
    </xf>
    <xf numFmtId="0" fontId="0" fillId="2" borderId="15" xfId="0" applyFill="1" applyBorder="1" applyAlignment="1">
      <alignment horizontal="center"/>
    </xf>
    <xf numFmtId="0" fontId="5" fillId="0" borderId="0" xfId="0" applyFont="1" applyAlignment="1">
      <alignment horizontal="center"/>
    </xf>
    <xf numFmtId="164" fontId="1" fillId="0" borderId="0" xfId="0" applyNumberFormat="1" applyFont="1" applyAlignment="1">
      <alignment horizontal="center"/>
    </xf>
    <xf numFmtId="165" fontId="1" fillId="0" borderId="0" xfId="0" applyNumberFormat="1" applyFont="1" applyAlignment="1">
      <alignment horizontal="center"/>
    </xf>
    <xf numFmtId="0" fontId="1" fillId="0" borderId="39" xfId="0" applyFont="1" applyBorder="1"/>
    <xf numFmtId="165" fontId="1" fillId="3" borderId="4" xfId="0" applyNumberFormat="1" applyFont="1" applyFill="1" applyBorder="1" applyAlignment="1">
      <alignment vertical="center"/>
    </xf>
    <xf numFmtId="0" fontId="5" fillId="0" borderId="9" xfId="0" applyFont="1" applyBorder="1" applyAlignment="1">
      <alignment vertical="center"/>
    </xf>
    <xf numFmtId="0" fontId="26" fillId="3" borderId="3" xfId="0" applyFont="1" applyFill="1" applyBorder="1" applyAlignment="1">
      <alignment vertical="center"/>
    </xf>
    <xf numFmtId="0" fontId="4" fillId="3" borderId="3" xfId="0" applyFont="1" applyFill="1" applyBorder="1" applyAlignment="1">
      <alignment vertical="center"/>
    </xf>
    <xf numFmtId="0" fontId="0" fillId="3" borderId="2" xfId="0" applyFill="1" applyBorder="1"/>
    <xf numFmtId="0" fontId="0" fillId="3" borderId="3" xfId="0" applyFill="1" applyBorder="1"/>
    <xf numFmtId="0" fontId="1" fillId="3" borderId="2" xfId="0" applyFont="1" applyFill="1" applyBorder="1"/>
    <xf numFmtId="0" fontId="15" fillId="0" borderId="67" xfId="0" applyFont="1" applyBorder="1"/>
    <xf numFmtId="0" fontId="15" fillId="0" borderId="45" xfId="0" applyFont="1" applyBorder="1"/>
    <xf numFmtId="165" fontId="1" fillId="3" borderId="4" xfId="0" applyNumberFormat="1" applyFont="1" applyFill="1" applyBorder="1"/>
    <xf numFmtId="0" fontId="1" fillId="0" borderId="19" xfId="0" applyFont="1" applyBorder="1"/>
    <xf numFmtId="0" fontId="1" fillId="0" borderId="19" xfId="0" applyFont="1" applyBorder="1" applyAlignment="1">
      <alignment horizontal="center"/>
    </xf>
    <xf numFmtId="164" fontId="0" fillId="0" borderId="67" xfId="0" applyNumberFormat="1" applyBorder="1"/>
    <xf numFmtId="0" fontId="1" fillId="18" borderId="7" xfId="0" applyFont="1" applyFill="1" applyBorder="1" applyAlignment="1" applyProtection="1">
      <alignment horizontal="center"/>
      <protection hidden="1"/>
    </xf>
    <xf numFmtId="0" fontId="10" fillId="18" borderId="6" xfId="0" applyFont="1" applyFill="1" applyBorder="1" applyAlignment="1" applyProtection="1">
      <alignment horizontal="center"/>
      <protection hidden="1"/>
    </xf>
    <xf numFmtId="0" fontId="10" fillId="18" borderId="5" xfId="0" applyFont="1" applyFill="1" applyBorder="1" applyAlignment="1" applyProtection="1">
      <alignment horizontal="center"/>
      <protection hidden="1"/>
    </xf>
    <xf numFmtId="164" fontId="5" fillId="0" borderId="23" xfId="0" applyNumberFormat="1" applyFont="1" applyBorder="1"/>
    <xf numFmtId="164" fontId="5" fillId="0" borderId="15" xfId="0" applyNumberFormat="1" applyFont="1" applyBorder="1"/>
    <xf numFmtId="164" fontId="5" fillId="0" borderId="5" xfId="0" applyNumberFormat="1" applyFont="1" applyBorder="1"/>
    <xf numFmtId="0" fontId="5" fillId="18" borderId="0" xfId="0" applyFont="1" applyFill="1" applyAlignment="1">
      <alignment horizontal="center"/>
    </xf>
    <xf numFmtId="0" fontId="5" fillId="11" borderId="15" xfId="0" applyFont="1" applyFill="1" applyBorder="1" applyAlignment="1">
      <alignment horizontal="left"/>
    </xf>
    <xf numFmtId="0" fontId="5" fillId="10" borderId="15" xfId="0" applyFont="1" applyFill="1" applyBorder="1" applyAlignment="1">
      <alignment horizontal="left"/>
    </xf>
    <xf numFmtId="0" fontId="5" fillId="13" borderId="15" xfId="0" applyFont="1" applyFill="1" applyBorder="1" applyAlignment="1">
      <alignment horizontal="left"/>
    </xf>
    <xf numFmtId="0" fontId="5" fillId="12" borderId="9" xfId="0" applyFont="1" applyFill="1" applyBorder="1" applyAlignment="1">
      <alignment horizontal="left"/>
    </xf>
    <xf numFmtId="0" fontId="5" fillId="14" borderId="9" xfId="0" applyFont="1" applyFill="1" applyBorder="1" applyAlignment="1">
      <alignment horizontal="left"/>
    </xf>
    <xf numFmtId="0" fontId="5" fillId="15" borderId="9" xfId="0" applyFont="1" applyFill="1" applyBorder="1" applyAlignment="1">
      <alignment horizontal="left"/>
    </xf>
    <xf numFmtId="0" fontId="5" fillId="18" borderId="5" xfId="0" applyFont="1" applyFill="1" applyBorder="1"/>
    <xf numFmtId="164" fontId="5" fillId="18" borderId="0" xfId="0" applyNumberFormat="1" applyFont="1" applyFill="1" applyAlignment="1">
      <alignment horizontal="left"/>
    </xf>
    <xf numFmtId="0" fontId="5" fillId="18" borderId="0" xfId="0" applyFont="1" applyFill="1" applyAlignment="1">
      <alignment horizontal="right"/>
    </xf>
    <xf numFmtId="165" fontId="5" fillId="18" borderId="0" xfId="0" applyNumberFormat="1" applyFont="1" applyFill="1" applyAlignment="1">
      <alignment horizontal="center" vertical="top"/>
    </xf>
    <xf numFmtId="165" fontId="5" fillId="3" borderId="4" xfId="0" applyNumberFormat="1" applyFont="1" applyFill="1" applyBorder="1" applyAlignment="1">
      <alignment vertical="center"/>
    </xf>
    <xf numFmtId="164" fontId="5" fillId="3" borderId="4" xfId="0" applyNumberFormat="1" applyFont="1" applyFill="1" applyBorder="1" applyAlignment="1">
      <alignment horizontal="right" vertical="center"/>
    </xf>
    <xf numFmtId="164" fontId="5" fillId="0" borderId="24" xfId="0" applyNumberFormat="1" applyFont="1" applyBorder="1"/>
    <xf numFmtId="0" fontId="11" fillId="0" borderId="0" xfId="0" applyFont="1"/>
    <xf numFmtId="0" fontId="5" fillId="18" borderId="7" xfId="0" applyFont="1" applyFill="1" applyBorder="1"/>
    <xf numFmtId="0" fontId="0" fillId="0" borderId="0" xfId="0" applyAlignment="1">
      <alignment horizontal="center" vertical="center"/>
    </xf>
    <xf numFmtId="0" fontId="0" fillId="21" borderId="1" xfId="0" applyFill="1" applyBorder="1" applyAlignment="1">
      <alignment horizontal="center" vertical="center"/>
    </xf>
    <xf numFmtId="0" fontId="0" fillId="3" borderId="3" xfId="0"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44" fontId="9" fillId="7" borderId="1" xfId="1" applyFont="1" applyFill="1" applyBorder="1"/>
    <xf numFmtId="0" fontId="5" fillId="0" borderId="60" xfId="0" applyFont="1" applyBorder="1"/>
    <xf numFmtId="0" fontId="5" fillId="0" borderId="44" xfId="0" applyFont="1" applyBorder="1"/>
    <xf numFmtId="0" fontId="0" fillId="21" borderId="1" xfId="0" applyFill="1" applyBorder="1" applyAlignment="1">
      <alignment horizontal="center"/>
    </xf>
    <xf numFmtId="164" fontId="0" fillId="0" borderId="41" xfId="0" applyNumberFormat="1" applyBorder="1"/>
    <xf numFmtId="0" fontId="0" fillId="0" borderId="73" xfId="0" applyBorder="1"/>
    <xf numFmtId="0" fontId="0" fillId="22" borderId="3" xfId="0" applyFill="1" applyBorder="1"/>
    <xf numFmtId="0" fontId="9" fillId="3" borderId="3" xfId="0" applyFont="1" applyFill="1" applyBorder="1"/>
    <xf numFmtId="0" fontId="9" fillId="3" borderId="3" xfId="0" applyFont="1" applyFill="1" applyBorder="1" applyAlignment="1">
      <alignment horizontal="center" vertical="center"/>
    </xf>
    <xf numFmtId="0" fontId="0" fillId="0" borderId="3" xfId="0" applyBorder="1" applyAlignment="1">
      <alignment horizontal="center"/>
    </xf>
    <xf numFmtId="0" fontId="0" fillId="0" borderId="0" xfId="0" applyAlignment="1">
      <alignment horizontal="left"/>
    </xf>
    <xf numFmtId="0" fontId="0" fillId="3" borderId="2" xfId="0" applyFill="1" applyBorder="1" applyAlignment="1">
      <alignment horizontal="left"/>
    </xf>
    <xf numFmtId="0" fontId="12" fillId="0" borderId="0" xfId="0" applyFont="1"/>
    <xf numFmtId="0" fontId="5" fillId="21" borderId="20" xfId="0" applyFont="1" applyFill="1" applyBorder="1" applyAlignment="1">
      <alignment horizontal="center"/>
    </xf>
    <xf numFmtId="0" fontId="5" fillId="21" borderId="1" xfId="0" applyFont="1" applyFill="1" applyBorder="1" applyAlignment="1">
      <alignment horizontal="center"/>
    </xf>
    <xf numFmtId="0" fontId="5" fillId="21" borderId="2" xfId="0" applyFont="1" applyFill="1" applyBorder="1" applyAlignment="1">
      <alignment horizontal="center"/>
    </xf>
    <xf numFmtId="0" fontId="5" fillId="21" borderId="21" xfId="0" applyFont="1" applyFill="1" applyBorder="1" applyAlignment="1">
      <alignment horizontal="center"/>
    </xf>
    <xf numFmtId="0" fontId="5" fillId="21" borderId="22" xfId="0" applyFont="1" applyFill="1" applyBorder="1" applyAlignment="1">
      <alignment horizontal="center"/>
    </xf>
    <xf numFmtId="0" fontId="5" fillId="21" borderId="6" xfId="0" applyFont="1" applyFill="1" applyBorder="1" applyAlignment="1">
      <alignment horizontal="center"/>
    </xf>
    <xf numFmtId="0" fontId="5" fillId="21" borderId="1" xfId="0" applyFont="1" applyFill="1" applyBorder="1"/>
    <xf numFmtId="0" fontId="5" fillId="0" borderId="7" xfId="0" applyFont="1" applyBorder="1" applyAlignment="1">
      <alignment horizontal="left"/>
    </xf>
    <xf numFmtId="0" fontId="5" fillId="0" borderId="0" xfId="0" applyFont="1" applyAlignment="1">
      <alignment horizontal="left"/>
    </xf>
    <xf numFmtId="0" fontId="1" fillId="0" borderId="0" xfId="0" applyFont="1" applyAlignment="1">
      <alignment horizontal="left"/>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5" fillId="0" borderId="60" xfId="0" applyFont="1" applyBorder="1" applyAlignment="1">
      <alignment vertical="center"/>
    </xf>
    <xf numFmtId="0" fontId="5" fillId="0" borderId="44"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0" borderId="2" xfId="0" applyFont="1" applyBorder="1"/>
    <xf numFmtId="0" fontId="1" fillId="0" borderId="4" xfId="0" applyFont="1" applyBorder="1"/>
    <xf numFmtId="0" fontId="1" fillId="3" borderId="3" xfId="0" applyFont="1" applyFill="1" applyBorder="1"/>
    <xf numFmtId="0" fontId="5" fillId="0" borderId="3" xfId="0" applyFont="1" applyBorder="1" applyAlignment="1">
      <alignment horizontal="center"/>
    </xf>
    <xf numFmtId="164" fontId="5" fillId="14" borderId="9" xfId="0" applyNumberFormat="1" applyFont="1" applyFill="1" applyBorder="1" applyAlignment="1">
      <alignment horizontal="left"/>
    </xf>
    <xf numFmtId="164" fontId="5" fillId="10" borderId="10" xfId="0" applyNumberFormat="1" applyFont="1" applyFill="1" applyBorder="1" applyAlignment="1">
      <alignment horizontal="left"/>
    </xf>
    <xf numFmtId="164" fontId="5" fillId="12" borderId="10" xfId="0" applyNumberFormat="1" applyFont="1" applyFill="1" applyBorder="1" applyAlignment="1">
      <alignment horizontal="left"/>
    </xf>
    <xf numFmtId="164" fontId="5" fillId="11" borderId="10" xfId="0" applyNumberFormat="1" applyFont="1" applyFill="1" applyBorder="1" applyAlignment="1">
      <alignment horizontal="left"/>
    </xf>
    <xf numFmtId="164" fontId="5" fillId="10" borderId="10" xfId="0" applyNumberFormat="1" applyFont="1" applyFill="1" applyBorder="1"/>
    <xf numFmtId="164" fontId="5" fillId="13" borderId="10" xfId="0" applyNumberFormat="1" applyFont="1" applyFill="1" applyBorder="1"/>
    <xf numFmtId="164" fontId="5" fillId="12" borderId="10" xfId="0" applyNumberFormat="1" applyFont="1" applyFill="1" applyBorder="1"/>
    <xf numFmtId="164" fontId="5" fillId="13" borderId="0" xfId="0" applyNumberFormat="1" applyFont="1" applyFill="1" applyAlignment="1">
      <alignment horizontal="left"/>
    </xf>
    <xf numFmtId="164" fontId="5" fillId="14" borderId="10" xfId="0" applyNumberFormat="1" applyFont="1" applyFill="1" applyBorder="1" applyAlignment="1">
      <alignment horizontal="left"/>
    </xf>
    <xf numFmtId="164" fontId="5" fillId="15" borderId="10" xfId="0" applyNumberFormat="1" applyFont="1" applyFill="1" applyBorder="1" applyAlignment="1">
      <alignment horizontal="left"/>
    </xf>
    <xf numFmtId="164" fontId="5" fillId="9" borderId="10" xfId="0" applyNumberFormat="1" applyFont="1" applyFill="1" applyBorder="1" applyAlignment="1">
      <alignment horizontal="left"/>
    </xf>
    <xf numFmtId="164" fontId="5" fillId="8" borderId="10" xfId="0" applyNumberFormat="1" applyFont="1" applyFill="1" applyBorder="1" applyAlignment="1">
      <alignment horizontal="left"/>
    </xf>
    <xf numFmtId="164" fontId="5" fillId="16" borderId="0" xfId="0" applyNumberFormat="1" applyFont="1" applyFill="1" applyAlignment="1">
      <alignment horizontal="left"/>
    </xf>
    <xf numFmtId="164" fontId="5" fillId="13" borderId="10" xfId="0" applyNumberFormat="1" applyFont="1" applyFill="1" applyBorder="1" applyAlignment="1">
      <alignment horizontal="left"/>
    </xf>
    <xf numFmtId="164" fontId="5" fillId="0" borderId="0" xfId="0" applyNumberFormat="1" applyFont="1"/>
    <xf numFmtId="0" fontId="5" fillId="11" borderId="12" xfId="0" applyFont="1" applyFill="1" applyBorder="1" applyAlignment="1">
      <alignment horizontal="right"/>
    </xf>
    <xf numFmtId="164" fontId="5" fillId="10" borderId="9" xfId="0" applyNumberFormat="1" applyFont="1" applyFill="1" applyBorder="1" applyAlignment="1">
      <alignment horizontal="left"/>
    </xf>
    <xf numFmtId="164" fontId="5" fillId="12" borderId="9" xfId="0" applyNumberFormat="1" applyFont="1" applyFill="1" applyBorder="1" applyAlignment="1">
      <alignment horizontal="left"/>
    </xf>
    <xf numFmtId="0" fontId="5" fillId="15" borderId="12" xfId="0" applyFont="1" applyFill="1" applyBorder="1" applyAlignment="1">
      <alignment horizontal="right"/>
    </xf>
    <xf numFmtId="164" fontId="5" fillId="15" borderId="9" xfId="0" applyNumberFormat="1" applyFont="1" applyFill="1" applyBorder="1" applyAlignment="1">
      <alignment horizontal="left"/>
    </xf>
    <xf numFmtId="164" fontId="5" fillId="11" borderId="9" xfId="0" applyNumberFormat="1" applyFont="1" applyFill="1" applyBorder="1" applyAlignment="1">
      <alignment horizontal="left"/>
    </xf>
    <xf numFmtId="164" fontId="5" fillId="13" borderId="9" xfId="0" applyNumberFormat="1" applyFont="1" applyFill="1" applyBorder="1" applyAlignment="1">
      <alignment horizontal="left"/>
    </xf>
    <xf numFmtId="0" fontId="5" fillId="9" borderId="12" xfId="0" applyFont="1" applyFill="1" applyBorder="1" applyAlignment="1">
      <alignment horizontal="right"/>
    </xf>
    <xf numFmtId="164" fontId="5" fillId="9" borderId="9" xfId="0" applyNumberFormat="1" applyFont="1" applyFill="1" applyBorder="1" applyAlignment="1">
      <alignment horizontal="left"/>
    </xf>
    <xf numFmtId="0" fontId="5" fillId="8" borderId="12" xfId="0" applyFont="1" applyFill="1" applyBorder="1" applyAlignment="1">
      <alignment horizontal="right"/>
    </xf>
    <xf numFmtId="164" fontId="5" fillId="8" borderId="9" xfId="0" applyNumberFormat="1" applyFont="1" applyFill="1" applyBorder="1" applyAlignment="1">
      <alignment horizontal="left"/>
    </xf>
    <xf numFmtId="164" fontId="5" fillId="11" borderId="9" xfId="0" applyNumberFormat="1" applyFont="1" applyFill="1" applyBorder="1"/>
    <xf numFmtId="0" fontId="5" fillId="0" borderId="8" xfId="0" applyFont="1" applyBorder="1"/>
    <xf numFmtId="164" fontId="5" fillId="0" borderId="0" xfId="0" applyNumberFormat="1" applyFont="1" applyAlignment="1">
      <alignment horizontal="right" vertical="center"/>
    </xf>
    <xf numFmtId="0" fontId="1" fillId="0" borderId="10" xfId="0" applyFont="1" applyBorder="1"/>
    <xf numFmtId="0" fontId="9" fillId="0" borderId="5" xfId="2" applyBorder="1"/>
    <xf numFmtId="0" fontId="9" fillId="0" borderId="0" xfId="2"/>
    <xf numFmtId="0" fontId="19" fillId="0" borderId="0" xfId="2" applyFont="1"/>
    <xf numFmtId="0" fontId="1" fillId="0" borderId="0" xfId="2" applyFont="1"/>
    <xf numFmtId="0" fontId="9" fillId="0" borderId="0" xfId="2" applyAlignment="1">
      <alignment horizontal="left"/>
    </xf>
    <xf numFmtId="0" fontId="17" fillId="0" borderId="10" xfId="2" applyFont="1" applyBorder="1"/>
    <xf numFmtId="164" fontId="1" fillId="6" borderId="4" xfId="0" applyNumberFormat="1" applyFont="1" applyFill="1" applyBorder="1" applyAlignment="1" applyProtection="1">
      <alignment horizontal="center" vertical="center"/>
      <protection hidden="1"/>
    </xf>
    <xf numFmtId="164" fontId="0" fillId="0" borderId="8" xfId="0" applyNumberFormat="1" applyBorder="1" applyAlignment="1" applyProtection="1">
      <alignment horizontal="center" vertical="center"/>
      <protection hidden="1"/>
    </xf>
    <xf numFmtId="164" fontId="1" fillId="20" borderId="4" xfId="0" applyNumberFormat="1" applyFont="1" applyFill="1" applyBorder="1" applyAlignment="1" applyProtection="1">
      <alignment horizontal="center" vertical="center"/>
      <protection hidden="1"/>
    </xf>
    <xf numFmtId="9" fontId="1" fillId="6" borderId="20" xfId="0" applyNumberFormat="1" applyFont="1" applyFill="1" applyBorder="1" applyAlignment="1" applyProtection="1">
      <alignment horizontal="center" vertical="center"/>
      <protection locked="0"/>
    </xf>
    <xf numFmtId="9" fontId="1" fillId="6" borderId="42" xfId="0" applyNumberFormat="1" applyFont="1" applyFill="1" applyBorder="1" applyAlignment="1" applyProtection="1">
      <alignment horizontal="center" vertical="center"/>
      <protection locked="0"/>
    </xf>
    <xf numFmtId="9" fontId="49" fillId="18" borderId="0" xfId="0" applyNumberFormat="1" applyFont="1" applyFill="1" applyAlignment="1" applyProtection="1">
      <alignment horizontal="center"/>
      <protection hidden="1"/>
    </xf>
    <xf numFmtId="0" fontId="13" fillId="0" borderId="6" xfId="0" applyFont="1" applyBorder="1" applyAlignment="1">
      <alignment vertical="top"/>
    </xf>
    <xf numFmtId="0" fontId="1" fillId="18" borderId="22" xfId="0" applyFont="1" applyFill="1" applyBorder="1" applyAlignment="1" applyProtection="1">
      <alignment horizontal="center" vertical="center"/>
      <protection hidden="1"/>
    </xf>
    <xf numFmtId="0" fontId="56" fillId="20" borderId="6" xfId="0" applyFont="1" applyFill="1" applyBorder="1" applyAlignment="1">
      <alignment horizontal="center" vertical="center"/>
    </xf>
    <xf numFmtId="164" fontId="56" fillId="18" borderId="2" xfId="0" applyNumberFormat="1" applyFont="1" applyFill="1" applyBorder="1" applyAlignment="1">
      <alignment horizontal="center" vertical="center"/>
    </xf>
    <xf numFmtId="164" fontId="26" fillId="0" borderId="0" xfId="0" applyNumberFormat="1" applyFont="1" applyAlignment="1" applyProtection="1">
      <alignment horizontal="center" wrapText="1"/>
      <protection hidden="1"/>
    </xf>
    <xf numFmtId="0" fontId="26" fillId="0" borderId="0" xfId="0" applyFont="1" applyAlignment="1" applyProtection="1">
      <alignment horizontal="center" wrapText="1"/>
      <protection hidden="1"/>
    </xf>
    <xf numFmtId="164" fontId="16" fillId="0" borderId="8" xfId="0" applyNumberFormat="1" applyFont="1" applyBorder="1" applyAlignment="1" applyProtection="1">
      <alignment horizontal="center"/>
      <protection hidden="1"/>
    </xf>
    <xf numFmtId="0" fontId="1" fillId="6" borderId="13" xfId="0" applyFont="1" applyFill="1" applyBorder="1" applyAlignment="1" applyProtection="1">
      <alignment horizontal="centerContinuous" vertical="center"/>
      <protection locked="0"/>
    </xf>
    <xf numFmtId="0" fontId="1" fillId="6" borderId="14" xfId="0" applyFont="1" applyFill="1" applyBorder="1" applyAlignment="1" applyProtection="1">
      <alignment horizontal="centerContinuous" vertical="center"/>
      <protection locked="0"/>
    </xf>
    <xf numFmtId="0" fontId="1" fillId="6" borderId="42" xfId="0" applyFont="1" applyFill="1" applyBorder="1" applyAlignment="1" applyProtection="1">
      <alignment horizontal="centerContinuous" vertical="center"/>
      <protection locked="0"/>
    </xf>
    <xf numFmtId="0" fontId="1" fillId="6" borderId="13" xfId="0" applyFont="1" applyFill="1" applyBorder="1" applyAlignment="1" applyProtection="1">
      <alignment horizontal="centerContinuous"/>
      <protection locked="0"/>
    </xf>
    <xf numFmtId="0" fontId="1" fillId="6" borderId="14" xfId="0" applyFont="1" applyFill="1" applyBorder="1" applyAlignment="1" applyProtection="1">
      <alignment horizontal="centerContinuous"/>
      <protection locked="0"/>
    </xf>
    <xf numFmtId="0" fontId="1" fillId="6" borderId="42" xfId="0" applyFont="1" applyFill="1" applyBorder="1" applyAlignment="1" applyProtection="1">
      <alignment horizontal="centerContinuous"/>
      <protection locked="0"/>
    </xf>
    <xf numFmtId="9" fontId="1" fillId="6" borderId="20" xfId="0" applyNumberFormat="1" applyFont="1" applyFill="1" applyBorder="1" applyAlignment="1" applyProtection="1">
      <alignment horizontal="center"/>
      <protection locked="0"/>
    </xf>
    <xf numFmtId="164" fontId="13" fillId="17" borderId="0" xfId="0" applyNumberFormat="1" applyFont="1" applyFill="1" applyProtection="1">
      <protection hidden="1"/>
    </xf>
    <xf numFmtId="0" fontId="15" fillId="18" borderId="5" xfId="0" applyFont="1" applyFill="1" applyBorder="1" applyAlignment="1" applyProtection="1">
      <alignment horizontal="center"/>
      <protection hidden="1"/>
    </xf>
    <xf numFmtId="0" fontId="16" fillId="0" borderId="11" xfId="0" applyFont="1" applyBorder="1" applyAlignment="1" applyProtection="1">
      <alignment horizontal="center"/>
      <protection hidden="1"/>
    </xf>
    <xf numFmtId="0" fontId="1" fillId="18" borderId="34" xfId="0" applyFont="1" applyFill="1" applyBorder="1" applyProtection="1">
      <protection hidden="1"/>
    </xf>
    <xf numFmtId="9" fontId="51" fillId="17" borderId="0" xfId="0" applyNumberFormat="1" applyFont="1" applyFill="1" applyProtection="1">
      <protection hidden="1"/>
    </xf>
    <xf numFmtId="0" fontId="6" fillId="18" borderId="12" xfId="0" applyFont="1" applyFill="1" applyBorder="1" applyAlignment="1" applyProtection="1">
      <alignment vertical="center"/>
      <protection hidden="1"/>
    </xf>
    <xf numFmtId="0" fontId="6" fillId="6" borderId="3" xfId="0" applyFont="1" applyFill="1" applyBorder="1" applyProtection="1">
      <protection hidden="1"/>
    </xf>
    <xf numFmtId="164" fontId="6" fillId="6" borderId="3" xfId="0" applyNumberFormat="1" applyFont="1" applyFill="1" applyBorder="1" applyProtection="1">
      <protection hidden="1"/>
    </xf>
    <xf numFmtId="9" fontId="1" fillId="6" borderId="22" xfId="0" applyNumberFormat="1" applyFont="1" applyFill="1" applyBorder="1" applyAlignment="1" applyProtection="1">
      <alignment horizontal="center" vertical="center"/>
      <protection locked="0"/>
    </xf>
    <xf numFmtId="0" fontId="1" fillId="6" borderId="70" xfId="0" applyFont="1" applyFill="1" applyBorder="1" applyAlignment="1" applyProtection="1">
      <alignment horizontal="centerContinuous"/>
      <protection locked="0"/>
    </xf>
    <xf numFmtId="0" fontId="1" fillId="6" borderId="44" xfId="0" applyFont="1" applyFill="1" applyBorder="1" applyAlignment="1" applyProtection="1">
      <alignment horizontal="centerContinuous"/>
      <protection locked="0"/>
    </xf>
    <xf numFmtId="0" fontId="1" fillId="6" borderId="32" xfId="0" applyFont="1" applyFill="1" applyBorder="1" applyAlignment="1" applyProtection="1">
      <alignment horizontal="centerContinuous"/>
      <protection locked="0"/>
    </xf>
    <xf numFmtId="0" fontId="1" fillId="0" borderId="5" xfId="0" applyFont="1" applyBorder="1" applyAlignment="1" applyProtection="1">
      <alignment vertical="center"/>
      <protection hidden="1"/>
    </xf>
    <xf numFmtId="165" fontId="1" fillId="0" borderId="5" xfId="0" applyNumberFormat="1" applyFont="1" applyBorder="1" applyAlignment="1" applyProtection="1">
      <alignment vertical="center"/>
      <protection hidden="1"/>
    </xf>
    <xf numFmtId="164" fontId="1" fillId="0" borderId="5" xfId="0" applyNumberFormat="1" applyFont="1" applyBorder="1" applyAlignment="1" applyProtection="1">
      <alignment horizontal="center" vertical="center"/>
      <protection hidden="1"/>
    </xf>
    <xf numFmtId="0" fontId="1" fillId="0" borderId="68" xfId="0" quotePrefix="1" applyFont="1" applyBorder="1" applyAlignment="1" applyProtection="1">
      <alignment horizontal="left" vertical="center"/>
      <protection hidden="1"/>
    </xf>
    <xf numFmtId="164" fontId="1" fillId="18" borderId="36" xfId="0" quotePrefix="1" applyNumberFormat="1" applyFont="1" applyFill="1" applyBorder="1" applyAlignment="1" applyProtection="1">
      <alignment vertical="center"/>
      <protection hidden="1"/>
    </xf>
    <xf numFmtId="0" fontId="1" fillId="6" borderId="20" xfId="0" applyFont="1" applyFill="1" applyBorder="1" applyAlignment="1" applyProtection="1">
      <alignment horizontal="center" vertical="center"/>
      <protection locked="0"/>
    </xf>
    <xf numFmtId="0" fontId="1" fillId="6" borderId="30" xfId="0" applyFont="1" applyFill="1" applyBorder="1" applyAlignment="1" applyProtection="1">
      <alignment horizontal="center" vertical="center"/>
      <protection locked="0"/>
    </xf>
    <xf numFmtId="0" fontId="1" fillId="6" borderId="27" xfId="0" applyFont="1" applyFill="1" applyBorder="1" applyAlignment="1" applyProtection="1">
      <alignment horizontal="center"/>
      <protection locked="0"/>
    </xf>
    <xf numFmtId="0" fontId="1" fillId="6" borderId="21" xfId="0" applyFont="1" applyFill="1" applyBorder="1" applyAlignment="1" applyProtection="1">
      <alignment horizontal="center" vertical="center"/>
      <protection locked="0"/>
    </xf>
    <xf numFmtId="0" fontId="1" fillId="6" borderId="27" xfId="0" applyFont="1" applyFill="1" applyBorder="1" applyAlignment="1" applyProtection="1">
      <alignment horizontal="center" vertical="center"/>
      <protection locked="0"/>
    </xf>
    <xf numFmtId="164" fontId="1" fillId="0" borderId="68" xfId="0" quotePrefix="1" applyNumberFormat="1" applyFont="1" applyBorder="1" applyAlignment="1" applyProtection="1">
      <alignment horizontal="left" vertical="center"/>
      <protection hidden="1"/>
    </xf>
    <xf numFmtId="0" fontId="1" fillId="6" borderId="21" xfId="0" applyFont="1" applyFill="1" applyBorder="1" applyAlignment="1" applyProtection="1">
      <alignment horizontal="center"/>
      <protection locked="0"/>
    </xf>
    <xf numFmtId="0" fontId="1" fillId="0" borderId="30" xfId="0" quotePrefix="1" applyFont="1" applyBorder="1" applyAlignment="1" applyProtection="1">
      <alignment horizontal="center" vertical="center"/>
      <protection hidden="1"/>
    </xf>
    <xf numFmtId="0" fontId="1" fillId="0" borderId="5" xfId="0" quotePrefix="1" applyFont="1" applyBorder="1" applyAlignment="1" applyProtection="1">
      <alignment horizontal="left"/>
      <protection hidden="1"/>
    </xf>
    <xf numFmtId="0" fontId="1" fillId="6" borderId="20" xfId="0" applyFont="1" applyFill="1" applyBorder="1" applyAlignment="1" applyProtection="1">
      <alignment horizontal="center"/>
      <protection locked="0"/>
    </xf>
    <xf numFmtId="167" fontId="49" fillId="0" borderId="0" xfId="0" applyNumberFormat="1" applyFont="1" applyAlignment="1" applyProtection="1">
      <alignment vertical="center"/>
      <protection hidden="1"/>
    </xf>
    <xf numFmtId="0" fontId="1" fillId="0" borderId="7" xfId="0" applyFont="1" applyBorder="1" applyAlignment="1" applyProtection="1">
      <alignment horizontal="left" vertical="center"/>
      <protection hidden="1"/>
    </xf>
    <xf numFmtId="0" fontId="1" fillId="0" borderId="0" xfId="0" applyFont="1" applyAlignment="1" applyProtection="1">
      <alignment horizontal="left" vertical="center"/>
      <protection hidden="1"/>
    </xf>
    <xf numFmtId="0" fontId="5" fillId="20" borderId="2" xfId="0" applyFont="1" applyFill="1" applyBorder="1" applyAlignment="1" applyProtection="1">
      <alignment horizontal="centerContinuous" vertical="center"/>
      <protection hidden="1"/>
    </xf>
    <xf numFmtId="0" fontId="5" fillId="20" borderId="3" xfId="0" applyFont="1" applyFill="1" applyBorder="1" applyAlignment="1" applyProtection="1">
      <alignment horizontal="centerContinuous" vertical="center"/>
      <protection hidden="1"/>
    </xf>
    <xf numFmtId="0" fontId="5" fillId="20" borderId="4" xfId="0" applyFont="1" applyFill="1" applyBorder="1" applyAlignment="1" applyProtection="1">
      <alignment horizontal="centerContinuous" vertical="center"/>
      <protection hidden="1"/>
    </xf>
    <xf numFmtId="0" fontId="6" fillId="20" borderId="2" xfId="0" applyFont="1" applyFill="1" applyBorder="1" applyAlignment="1" applyProtection="1">
      <alignment horizontal="centerContinuous" vertical="center"/>
      <protection hidden="1"/>
    </xf>
    <xf numFmtId="0" fontId="6" fillId="20" borderId="3" xfId="0" applyFont="1" applyFill="1" applyBorder="1" applyAlignment="1" applyProtection="1">
      <alignment horizontal="centerContinuous" vertical="center"/>
      <protection hidden="1"/>
    </xf>
    <xf numFmtId="0" fontId="6" fillId="20" borderId="4" xfId="0" applyFont="1" applyFill="1" applyBorder="1" applyAlignment="1" applyProtection="1">
      <alignment horizontal="centerContinuous" vertical="center"/>
      <protection hidden="1"/>
    </xf>
    <xf numFmtId="0" fontId="5" fillId="20" borderId="10" xfId="0" applyFont="1" applyFill="1" applyBorder="1" applyAlignment="1" applyProtection="1">
      <alignment horizontal="centerContinuous" vertical="center"/>
      <protection hidden="1"/>
    </xf>
    <xf numFmtId="0" fontId="5" fillId="20" borderId="9" xfId="0" applyFont="1" applyFill="1" applyBorder="1" applyAlignment="1" applyProtection="1">
      <alignment horizontal="centerContinuous" vertical="center"/>
      <protection hidden="1"/>
    </xf>
    <xf numFmtId="0" fontId="5" fillId="20" borderId="12" xfId="0" applyFont="1" applyFill="1" applyBorder="1" applyAlignment="1" applyProtection="1">
      <alignment horizontal="centerContinuous" vertical="center"/>
      <protection hidden="1"/>
    </xf>
    <xf numFmtId="0" fontId="1" fillId="0" borderId="9" xfId="0" applyFont="1" applyBorder="1" applyAlignment="1" applyProtection="1">
      <alignment horizontal="left" vertical="center"/>
      <protection hidden="1"/>
    </xf>
    <xf numFmtId="0" fontId="1" fillId="0" borderId="10" xfId="0" applyFont="1" applyBorder="1" applyAlignment="1" applyProtection="1">
      <alignment horizontal="left" vertical="center"/>
      <protection hidden="1"/>
    </xf>
    <xf numFmtId="164" fontId="1" fillId="0" borderId="10" xfId="0" applyNumberFormat="1" applyFont="1" applyBorder="1" applyAlignment="1" applyProtection="1">
      <alignment horizontal="left" vertical="center"/>
      <protection hidden="1"/>
    </xf>
    <xf numFmtId="164" fontId="1" fillId="0" borderId="48" xfId="0" quotePrefix="1" applyNumberFormat="1" applyFont="1" applyBorder="1" applyAlignment="1" applyProtection="1">
      <alignment horizontal="left" vertical="center"/>
      <protection hidden="1"/>
    </xf>
    <xf numFmtId="0" fontId="1" fillId="6" borderId="22" xfId="0" applyFont="1" applyFill="1" applyBorder="1" applyAlignment="1" applyProtection="1">
      <alignment horizontal="center" vertical="center"/>
      <protection locked="0"/>
    </xf>
    <xf numFmtId="0" fontId="1" fillId="6" borderId="36" xfId="0" applyFont="1" applyFill="1" applyBorder="1" applyAlignment="1" applyProtection="1">
      <alignment horizontal="center" vertical="center"/>
      <protection locked="0"/>
    </xf>
    <xf numFmtId="0" fontId="5" fillId="0" borderId="0" xfId="0" applyFont="1" applyAlignment="1" applyProtection="1">
      <alignment horizontal="right" vertical="center"/>
      <protection hidden="1"/>
    </xf>
    <xf numFmtId="0" fontId="42" fillId="0" borderId="0" xfId="0" applyFont="1" applyAlignment="1" applyProtection="1">
      <alignment horizontal="left" vertical="center"/>
      <protection hidden="1"/>
    </xf>
    <xf numFmtId="164" fontId="42" fillId="0" borderId="0" xfId="0" applyNumberFormat="1" applyFont="1" applyAlignment="1" applyProtection="1">
      <alignment horizontal="right" vertical="center"/>
      <protection hidden="1"/>
    </xf>
    <xf numFmtId="0" fontId="1" fillId="0" borderId="2" xfId="0" applyFont="1" applyBorder="1" applyAlignment="1" applyProtection="1">
      <alignment vertical="center"/>
      <protection hidden="1"/>
    </xf>
    <xf numFmtId="0" fontId="5" fillId="0" borderId="3" xfId="0" applyFont="1" applyBorder="1" applyAlignment="1" applyProtection="1">
      <alignment horizontal="right" vertical="center"/>
      <protection hidden="1"/>
    </xf>
    <xf numFmtId="0" fontId="42" fillId="0" borderId="3" xfId="0" applyFont="1" applyBorder="1" applyAlignment="1" applyProtection="1">
      <alignment horizontal="left" vertical="center"/>
      <protection hidden="1"/>
    </xf>
    <xf numFmtId="164" fontId="42" fillId="0" borderId="3" xfId="0" applyNumberFormat="1" applyFont="1" applyBorder="1" applyAlignment="1" applyProtection="1">
      <alignment horizontal="right" vertical="center"/>
      <protection hidden="1"/>
    </xf>
    <xf numFmtId="164" fontId="42" fillId="0" borderId="3" xfId="0" applyNumberFormat="1" applyFont="1" applyBorder="1" applyAlignment="1" applyProtection="1">
      <alignment horizontal="center" vertical="center"/>
      <protection hidden="1"/>
    </xf>
    <xf numFmtId="164" fontId="42" fillId="0" borderId="4" xfId="0" applyNumberFormat="1" applyFont="1" applyBorder="1" applyAlignment="1" applyProtection="1">
      <alignment horizontal="center" vertical="center"/>
      <protection hidden="1"/>
    </xf>
    <xf numFmtId="170" fontId="1" fillId="6" borderId="21" xfId="0" applyNumberFormat="1" applyFont="1" applyFill="1" applyBorder="1" applyAlignment="1" applyProtection="1">
      <alignment horizontal="center" vertical="center"/>
      <protection locked="0"/>
    </xf>
    <xf numFmtId="0" fontId="28" fillId="0" borderId="0" xfId="0" applyFont="1" applyAlignment="1" applyProtection="1">
      <alignment horizontal="center" vertical="center"/>
      <protection hidden="1"/>
    </xf>
    <xf numFmtId="4" fontId="28" fillId="0" borderId="0" xfId="0" applyNumberFormat="1" applyFont="1" applyAlignment="1" applyProtection="1">
      <alignment horizontal="right" vertical="center"/>
      <protection hidden="1"/>
    </xf>
    <xf numFmtId="164" fontId="28" fillId="0" borderId="0" xfId="0" applyNumberFormat="1" applyFont="1" applyAlignment="1" applyProtection="1">
      <alignment horizontal="left" vertical="center"/>
      <protection hidden="1"/>
    </xf>
    <xf numFmtId="170" fontId="1" fillId="6" borderId="20" xfId="0" applyNumberFormat="1" applyFont="1" applyFill="1" applyBorder="1" applyAlignment="1" applyProtection="1">
      <alignment horizontal="center" vertical="center" wrapText="1"/>
      <protection locked="0"/>
    </xf>
    <xf numFmtId="0" fontId="27" fillId="0" borderId="5" xfId="0" applyFont="1" applyBorder="1" applyAlignment="1" applyProtection="1">
      <alignment horizontal="center" vertical="center"/>
      <protection hidden="1"/>
    </xf>
    <xf numFmtId="4" fontId="42" fillId="0" borderId="5" xfId="0" applyNumberFormat="1" applyFont="1" applyBorder="1" applyAlignment="1" applyProtection="1">
      <alignment horizontal="right" vertical="center"/>
      <protection hidden="1"/>
    </xf>
    <xf numFmtId="164" fontId="42" fillId="0" borderId="5" xfId="0" applyNumberFormat="1" applyFont="1" applyBorder="1" applyAlignment="1" applyProtection="1">
      <alignment horizontal="left" vertical="center"/>
      <protection hidden="1"/>
    </xf>
    <xf numFmtId="0" fontId="42" fillId="0" borderId="5" xfId="0" applyFont="1" applyBorder="1" applyAlignment="1" applyProtection="1">
      <alignment horizontal="center" vertical="center" wrapText="1"/>
      <protection hidden="1"/>
    </xf>
    <xf numFmtId="164" fontId="42" fillId="0" borderId="5" xfId="0" applyNumberFormat="1" applyFont="1" applyBorder="1" applyAlignment="1" applyProtection="1">
      <alignment horizontal="center" vertical="center" wrapText="1"/>
      <protection hidden="1"/>
    </xf>
    <xf numFmtId="170" fontId="1" fillId="0" borderId="20" xfId="0" quotePrefix="1" applyNumberFormat="1" applyFont="1" applyBorder="1" applyAlignment="1" applyProtection="1">
      <alignment horizontal="center" vertical="center"/>
      <protection hidden="1"/>
    </xf>
    <xf numFmtId="0" fontId="10" fillId="18" borderId="6" xfId="0" applyFont="1" applyFill="1" applyBorder="1" applyAlignment="1" applyProtection="1">
      <alignment horizontal="centerContinuous"/>
      <protection hidden="1"/>
    </xf>
    <xf numFmtId="0" fontId="10" fillId="18" borderId="5" xfId="0" applyFont="1" applyFill="1" applyBorder="1" applyAlignment="1" applyProtection="1">
      <alignment horizontal="centerContinuous"/>
      <protection hidden="1"/>
    </xf>
    <xf numFmtId="0" fontId="10" fillId="18" borderId="11" xfId="0" applyFont="1" applyFill="1" applyBorder="1" applyAlignment="1" applyProtection="1">
      <alignment horizontal="centerContinuous"/>
      <protection hidden="1"/>
    </xf>
    <xf numFmtId="164" fontId="1" fillId="18" borderId="0" xfId="0" applyNumberFormat="1" applyFont="1" applyFill="1" applyAlignment="1" applyProtection="1">
      <alignment horizontal="center"/>
      <protection hidden="1"/>
    </xf>
    <xf numFmtId="0" fontId="6" fillId="20" borderId="2" xfId="0" applyFont="1" applyFill="1" applyBorder="1" applyAlignment="1" applyProtection="1">
      <alignment horizontal="centerContinuous"/>
      <protection hidden="1"/>
    </xf>
    <xf numFmtId="0" fontId="6" fillId="20" borderId="3" xfId="0" applyFont="1" applyFill="1" applyBorder="1" applyAlignment="1" applyProtection="1">
      <alignment horizontal="centerContinuous"/>
      <protection hidden="1"/>
    </xf>
    <xf numFmtId="0" fontId="1"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5" fillId="0" borderId="7" xfId="0" applyFont="1" applyBorder="1" applyAlignment="1" applyProtection="1">
      <alignment horizontal="center"/>
      <protection hidden="1"/>
    </xf>
    <xf numFmtId="0" fontId="5" fillId="0" borderId="0" xfId="0" applyFont="1" applyAlignment="1" applyProtection="1">
      <alignment horizontal="center"/>
      <protection hidden="1"/>
    </xf>
    <xf numFmtId="0" fontId="1" fillId="20" borderId="3" xfId="0" applyFont="1" applyFill="1" applyBorder="1" applyAlignment="1" applyProtection="1">
      <alignment horizontal="center"/>
      <protection hidden="1"/>
    </xf>
    <xf numFmtId="0" fontId="5" fillId="18" borderId="7" xfId="0" applyFont="1" applyFill="1" applyBorder="1" applyProtection="1">
      <protection hidden="1"/>
    </xf>
    <xf numFmtId="0" fontId="5" fillId="18" borderId="0" xfId="0" applyFont="1" applyFill="1" applyProtection="1">
      <protection hidden="1"/>
    </xf>
    <xf numFmtId="0" fontId="5" fillId="18" borderId="8" xfId="0" applyFont="1" applyFill="1" applyBorder="1" applyProtection="1">
      <protection hidden="1"/>
    </xf>
    <xf numFmtId="0" fontId="5" fillId="18" borderId="0" xfId="0" applyFont="1" applyFill="1" applyAlignment="1" applyProtection="1">
      <alignment horizontal="centerContinuous"/>
      <protection hidden="1"/>
    </xf>
    <xf numFmtId="0" fontId="5" fillId="18" borderId="37" xfId="0" applyFont="1" applyFill="1" applyBorder="1" applyAlignment="1" applyProtection="1">
      <alignment horizontal="centerContinuous"/>
      <protection hidden="1"/>
    </xf>
    <xf numFmtId="0" fontId="0" fillId="20" borderId="2" xfId="0" applyFill="1" applyBorder="1" applyProtection="1">
      <protection hidden="1"/>
    </xf>
    <xf numFmtId="0" fontId="10" fillId="20" borderId="2" xfId="0" applyFont="1" applyFill="1" applyBorder="1" applyAlignment="1" applyProtection="1">
      <alignment horizontal="centerContinuous" vertical="center"/>
      <protection hidden="1"/>
    </xf>
    <xf numFmtId="0" fontId="10" fillId="20" borderId="3" xfId="0" applyFont="1" applyFill="1" applyBorder="1" applyAlignment="1" applyProtection="1">
      <alignment horizontal="centerContinuous" vertical="center"/>
      <protection hidden="1"/>
    </xf>
    <xf numFmtId="0" fontId="10" fillId="20" borderId="4" xfId="0" applyFont="1" applyFill="1" applyBorder="1" applyAlignment="1" applyProtection="1">
      <alignment horizontal="centerContinuous" vertical="center"/>
      <protection hidden="1"/>
    </xf>
    <xf numFmtId="164" fontId="12" fillId="4" borderId="2" xfId="0" applyNumberFormat="1" applyFont="1" applyFill="1" applyBorder="1" applyAlignment="1" applyProtection="1">
      <alignment horizontal="centerContinuous" vertical="center" wrapText="1"/>
      <protection hidden="1"/>
    </xf>
    <xf numFmtId="164" fontId="12" fillId="4" borderId="3" xfId="0" applyNumberFormat="1" applyFont="1" applyFill="1" applyBorder="1" applyAlignment="1" applyProtection="1">
      <alignment horizontal="centerContinuous" vertical="center" wrapText="1"/>
      <protection hidden="1"/>
    </xf>
    <xf numFmtId="164" fontId="12" fillId="4" borderId="4" xfId="0" applyNumberFormat="1" applyFont="1" applyFill="1" applyBorder="1" applyAlignment="1" applyProtection="1">
      <alignment horizontal="centerContinuous" vertical="center" wrapText="1"/>
      <protection hidden="1"/>
    </xf>
    <xf numFmtId="0" fontId="27" fillId="20" borderId="2" xfId="0" applyFont="1" applyFill="1" applyBorder="1" applyAlignment="1" applyProtection="1">
      <alignment horizontal="centerContinuous"/>
      <protection hidden="1"/>
    </xf>
    <xf numFmtId="0" fontId="27" fillId="20" borderId="3" xfId="0" applyFont="1" applyFill="1" applyBorder="1" applyAlignment="1" applyProtection="1">
      <alignment horizontal="centerContinuous"/>
      <protection hidden="1"/>
    </xf>
    <xf numFmtId="0" fontId="27" fillId="20" borderId="4" xfId="0" applyFont="1" applyFill="1" applyBorder="1" applyAlignment="1" applyProtection="1">
      <alignment horizontal="centerContinuous"/>
      <protection hidden="1"/>
    </xf>
    <xf numFmtId="0" fontId="5" fillId="0" borderId="44" xfId="0" applyFont="1" applyBorder="1" applyAlignment="1" applyProtection="1">
      <alignment horizontal="centerContinuous"/>
      <protection hidden="1"/>
    </xf>
    <xf numFmtId="0" fontId="30" fillId="0" borderId="6" xfId="0" applyFont="1" applyBorder="1" applyAlignment="1" applyProtection="1">
      <alignment horizontal="centerContinuous"/>
      <protection hidden="1"/>
    </xf>
    <xf numFmtId="0" fontId="30" fillId="0" borderId="5" xfId="0" applyFont="1" applyBorder="1" applyAlignment="1" applyProtection="1">
      <alignment horizontal="centerContinuous"/>
      <protection hidden="1"/>
    </xf>
    <xf numFmtId="0" fontId="30" fillId="0" borderId="11" xfId="0" applyFont="1" applyBorder="1" applyAlignment="1" applyProtection="1">
      <alignment horizontal="centerContinuous"/>
      <protection hidden="1"/>
    </xf>
    <xf numFmtId="0" fontId="28" fillId="0" borderId="9" xfId="0" applyFont="1" applyBorder="1" applyAlignment="1" applyProtection="1">
      <alignment horizontal="centerContinuous"/>
      <protection hidden="1"/>
    </xf>
    <xf numFmtId="0" fontId="28" fillId="0" borderId="10" xfId="0" applyFont="1" applyBorder="1" applyAlignment="1" applyProtection="1">
      <alignment horizontal="centerContinuous"/>
      <protection hidden="1"/>
    </xf>
    <xf numFmtId="0" fontId="28" fillId="0" borderId="12" xfId="0" applyFont="1" applyBorder="1" applyAlignment="1" applyProtection="1">
      <alignment horizontal="centerContinuous"/>
      <protection hidden="1"/>
    </xf>
    <xf numFmtId="0" fontId="1" fillId="6" borderId="20" xfId="0" quotePrefix="1"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170" fontId="1" fillId="6" borderId="20" xfId="0" applyNumberFormat="1" applyFont="1" applyFill="1" applyBorder="1" applyProtection="1">
      <protection locked="0"/>
    </xf>
    <xf numFmtId="0" fontId="5" fillId="0" borderId="7" xfId="0" applyFont="1" applyBorder="1" applyAlignment="1" applyProtection="1">
      <alignment horizontal="centerContinuous"/>
      <protection hidden="1"/>
    </xf>
    <xf numFmtId="0" fontId="5" fillId="0" borderId="0" xfId="0" applyFont="1" applyAlignment="1" applyProtection="1">
      <alignment horizontal="centerContinuous"/>
      <protection hidden="1"/>
    </xf>
    <xf numFmtId="0" fontId="1" fillId="20" borderId="2" xfId="0" applyFont="1" applyFill="1" applyBorder="1" applyAlignment="1" applyProtection="1">
      <alignment horizontal="centerContinuous" vertical="center"/>
      <protection hidden="1"/>
    </xf>
    <xf numFmtId="0" fontId="1" fillId="20" borderId="3" xfId="0" applyFont="1" applyFill="1" applyBorder="1" applyAlignment="1" applyProtection="1">
      <alignment horizontal="centerContinuous" vertical="center"/>
      <protection hidden="1"/>
    </xf>
    <xf numFmtId="0" fontId="1" fillId="20" borderId="4" xfId="0" applyFont="1" applyFill="1" applyBorder="1" applyAlignment="1" applyProtection="1">
      <alignment horizontal="centerContinuous" vertical="center"/>
      <protection hidden="1"/>
    </xf>
    <xf numFmtId="0" fontId="43" fillId="20" borderId="2" xfId="0" applyFont="1" applyFill="1" applyBorder="1" applyAlignment="1" applyProtection="1">
      <alignment horizontal="centerContinuous" vertical="center"/>
      <protection hidden="1"/>
    </xf>
    <xf numFmtId="0" fontId="6" fillId="20" borderId="2" xfId="0" applyFont="1" applyFill="1" applyBorder="1" applyAlignment="1" applyProtection="1">
      <alignment horizontal="centerContinuous" vertical="center" wrapText="1"/>
      <protection hidden="1"/>
    </xf>
    <xf numFmtId="0" fontId="13" fillId="20" borderId="3" xfId="0" applyFont="1" applyFill="1" applyBorder="1" applyAlignment="1" applyProtection="1">
      <alignment horizontal="centerContinuous" vertical="center" wrapText="1"/>
      <protection hidden="1"/>
    </xf>
    <xf numFmtId="0" fontId="13" fillId="20" borderId="4" xfId="0" applyFont="1" applyFill="1" applyBorder="1" applyAlignment="1" applyProtection="1">
      <alignment horizontal="centerContinuous" vertical="center" wrapText="1"/>
      <protection hidden="1"/>
    </xf>
    <xf numFmtId="0" fontId="43" fillId="20" borderId="3" xfId="0" applyFont="1" applyFill="1" applyBorder="1" applyAlignment="1" applyProtection="1">
      <alignment horizontal="centerContinuous" vertical="center"/>
      <protection hidden="1"/>
    </xf>
    <xf numFmtId="0" fontId="43" fillId="20" borderId="4" xfId="0" applyFont="1" applyFill="1" applyBorder="1" applyAlignment="1" applyProtection="1">
      <alignment horizontal="centerContinuous" vertical="center"/>
      <protection hidden="1"/>
    </xf>
    <xf numFmtId="0" fontId="1" fillId="20" borderId="2" xfId="0" applyFont="1" applyFill="1" applyBorder="1" applyAlignment="1" applyProtection="1">
      <alignment horizontal="centerContinuous"/>
      <protection hidden="1"/>
    </xf>
    <xf numFmtId="0" fontId="1" fillId="20" borderId="3" xfId="0" applyFont="1" applyFill="1" applyBorder="1" applyAlignment="1" applyProtection="1">
      <alignment horizontal="centerContinuous"/>
      <protection hidden="1"/>
    </xf>
    <xf numFmtId="0" fontId="1" fillId="0" borderId="7" xfId="0" applyFont="1" applyBorder="1" applyAlignment="1" applyProtection="1">
      <alignment horizontal="left"/>
      <protection hidden="1"/>
    </xf>
    <xf numFmtId="0" fontId="1" fillId="0" borderId="0" xfId="0" applyFont="1" applyAlignment="1" applyProtection="1">
      <alignment horizontal="left"/>
      <protection hidden="1"/>
    </xf>
    <xf numFmtId="0" fontId="1" fillId="0" borderId="29" xfId="0" applyFont="1" applyBorder="1" applyAlignment="1" applyProtection="1">
      <alignment horizontal="left"/>
      <protection hidden="1"/>
    </xf>
    <xf numFmtId="0" fontId="1" fillId="19" borderId="0" xfId="0" applyFont="1" applyFill="1"/>
    <xf numFmtId="0" fontId="1" fillId="17" borderId="0" xfId="0" applyFont="1" applyFill="1"/>
    <xf numFmtId="0" fontId="1" fillId="17" borderId="0" xfId="0" applyFont="1" applyFill="1" applyAlignment="1">
      <alignment horizontal="center"/>
    </xf>
    <xf numFmtId="164" fontId="1" fillId="17" borderId="0" xfId="0" applyNumberFormat="1" applyFont="1" applyFill="1" applyAlignment="1">
      <alignment horizontal="center"/>
    </xf>
    <xf numFmtId="167" fontId="1" fillId="17" borderId="0" xfId="0" applyNumberFormat="1" applyFont="1" applyFill="1"/>
    <xf numFmtId="0" fontId="6" fillId="20" borderId="2" xfId="0" applyFont="1" applyFill="1" applyBorder="1" applyAlignment="1">
      <alignment vertical="center"/>
    </xf>
    <xf numFmtId="0" fontId="1" fillId="20" borderId="3" xfId="0" applyFont="1" applyFill="1" applyBorder="1" applyAlignment="1">
      <alignment vertical="center"/>
    </xf>
    <xf numFmtId="164" fontId="1" fillId="20" borderId="4" xfId="0" applyNumberFormat="1" applyFont="1" applyFill="1" applyBorder="1" applyAlignment="1">
      <alignment vertical="center"/>
    </xf>
    <xf numFmtId="0" fontId="28" fillId="0" borderId="6" xfId="0" applyFont="1" applyBorder="1"/>
    <xf numFmtId="0" fontId="28" fillId="0" borderId="5" xfId="0" applyFont="1" applyBorder="1"/>
    <xf numFmtId="165" fontId="28" fillId="0" borderId="5" xfId="0" applyNumberFormat="1" applyFont="1" applyBorder="1"/>
    <xf numFmtId="0" fontId="28" fillId="0" borderId="5" xfId="0" applyFont="1" applyBorder="1" applyAlignment="1">
      <alignment horizontal="center"/>
    </xf>
    <xf numFmtId="164" fontId="28" fillId="0" borderId="11" xfId="0" applyNumberFormat="1" applyFont="1" applyBorder="1" applyAlignment="1">
      <alignment horizontal="center"/>
    </xf>
    <xf numFmtId="0" fontId="47" fillId="0" borderId="7" xfId="0" applyFont="1" applyBorder="1"/>
    <xf numFmtId="0" fontId="33" fillId="0" borderId="0" xfId="0" applyFont="1"/>
    <xf numFmtId="165" fontId="33" fillId="0" borderId="0" xfId="0" applyNumberFormat="1" applyFont="1" applyAlignment="1">
      <alignment horizontal="center"/>
    </xf>
    <xf numFmtId="0" fontId="33" fillId="0" borderId="0" xfId="0" applyFont="1" applyAlignment="1">
      <alignment horizontal="center"/>
    </xf>
    <xf numFmtId="164" fontId="33" fillId="0" borderId="8" xfId="0" applyNumberFormat="1" applyFont="1" applyBorder="1" applyAlignment="1">
      <alignment horizontal="center"/>
    </xf>
    <xf numFmtId="0" fontId="1" fillId="19" borderId="8" xfId="0" applyFont="1" applyFill="1" applyBorder="1"/>
    <xf numFmtId="0" fontId="35" fillId="0" borderId="7" xfId="0" applyFont="1" applyBorder="1"/>
    <xf numFmtId="0" fontId="1" fillId="0" borderId="0" xfId="0" applyFont="1" applyAlignment="1">
      <alignment horizontal="center"/>
    </xf>
    <xf numFmtId="164" fontId="1" fillId="0" borderId="8" xfId="0" applyNumberFormat="1" applyFont="1" applyBorder="1" applyAlignment="1">
      <alignment horizontal="center"/>
    </xf>
    <xf numFmtId="0" fontId="1" fillId="0" borderId="20" xfId="0" quotePrefix="1" applyFont="1" applyBorder="1" applyAlignment="1">
      <alignment horizontal="center"/>
    </xf>
    <xf numFmtId="0" fontId="1" fillId="0" borderId="14" xfId="0" quotePrefix="1" applyFont="1" applyBorder="1" applyAlignment="1">
      <alignment horizontal="center"/>
    </xf>
    <xf numFmtId="167" fontId="1" fillId="0" borderId="7" xfId="0" applyNumberFormat="1" applyFont="1" applyBorder="1"/>
    <xf numFmtId="0" fontId="1" fillId="0" borderId="0" xfId="0" quotePrefix="1" applyFont="1" applyAlignment="1">
      <alignment horizontal="center"/>
    </xf>
    <xf numFmtId="0" fontId="1" fillId="0" borderId="37" xfId="0" quotePrefix="1" applyFont="1" applyBorder="1" applyAlignment="1">
      <alignment horizontal="center"/>
    </xf>
    <xf numFmtId="0" fontId="1" fillId="0" borderId="6" xfId="0" applyFont="1" applyBorder="1"/>
    <xf numFmtId="0" fontId="1" fillId="0" borderId="5" xfId="0" applyFont="1" applyBorder="1"/>
    <xf numFmtId="0" fontId="1" fillId="18" borderId="0" xfId="0" applyFont="1" applyFill="1"/>
    <xf numFmtId="0" fontId="1" fillId="20" borderId="2" xfId="0" applyFont="1" applyFill="1" applyBorder="1" applyAlignment="1">
      <alignment vertical="center"/>
    </xf>
    <xf numFmtId="0" fontId="1" fillId="20" borderId="3" xfId="0" applyFont="1" applyFill="1" applyBorder="1"/>
    <xf numFmtId="44" fontId="10" fillId="20" borderId="3" xfId="0" applyNumberFormat="1" applyFont="1" applyFill="1" applyBorder="1"/>
    <xf numFmtId="44" fontId="6" fillId="20" borderId="2" xfId="0" applyNumberFormat="1" applyFont="1" applyFill="1" applyBorder="1" applyAlignment="1">
      <alignment vertical="center"/>
    </xf>
    <xf numFmtId="44" fontId="6" fillId="20" borderId="3" xfId="0" applyNumberFormat="1" applyFont="1" applyFill="1" applyBorder="1" applyAlignment="1">
      <alignment vertical="center"/>
    </xf>
    <xf numFmtId="164" fontId="6" fillId="20" borderId="3" xfId="0" quotePrefix="1" applyNumberFormat="1" applyFont="1" applyFill="1" applyBorder="1" applyAlignment="1">
      <alignment vertical="center"/>
    </xf>
    <xf numFmtId="0" fontId="1" fillId="17" borderId="5" xfId="0" applyFont="1" applyFill="1" applyBorder="1"/>
    <xf numFmtId="165" fontId="1" fillId="17" borderId="5" xfId="0" applyNumberFormat="1" applyFont="1" applyFill="1" applyBorder="1"/>
    <xf numFmtId="0" fontId="1" fillId="17" borderId="5" xfId="0" applyFont="1" applyFill="1" applyBorder="1" applyAlignment="1">
      <alignment horizontal="center"/>
    </xf>
    <xf numFmtId="165" fontId="1" fillId="17" borderId="0" xfId="0" applyNumberFormat="1" applyFont="1" applyFill="1"/>
    <xf numFmtId="0" fontId="1" fillId="6" borderId="30" xfId="0" applyFont="1" applyFill="1" applyBorder="1" applyAlignment="1" applyProtection="1">
      <alignment horizontal="center"/>
      <protection locked="0"/>
    </xf>
    <xf numFmtId="0" fontId="1" fillId="6" borderId="22" xfId="0" quotePrefix="1" applyFont="1" applyFill="1" applyBorder="1" applyAlignment="1" applyProtection="1">
      <alignment horizontal="center"/>
      <protection locked="0"/>
    </xf>
    <xf numFmtId="0" fontId="1" fillId="6" borderId="21" xfId="0" quotePrefix="1" applyFont="1" applyFill="1" applyBorder="1" applyAlignment="1" applyProtection="1">
      <alignment horizontal="center"/>
      <protection locked="0"/>
    </xf>
    <xf numFmtId="167" fontId="0" fillId="0" borderId="45" xfId="0" applyNumberFormat="1" applyBorder="1" applyProtection="1">
      <protection hidden="1"/>
    </xf>
    <xf numFmtId="0" fontId="1" fillId="18" borderId="6" xfId="0" applyFont="1" applyFill="1" applyBorder="1" applyAlignment="1" applyProtection="1">
      <alignment horizontal="left"/>
      <protection hidden="1"/>
    </xf>
    <xf numFmtId="0" fontId="1" fillId="18" borderId="5" xfId="0" applyFont="1" applyFill="1" applyBorder="1" applyAlignment="1" applyProtection="1">
      <alignment horizontal="left"/>
      <protection hidden="1"/>
    </xf>
    <xf numFmtId="9" fontId="1" fillId="6" borderId="30" xfId="0" applyNumberFormat="1" applyFont="1" applyFill="1" applyBorder="1" applyAlignment="1" applyProtection="1">
      <alignment horizontal="center" vertical="center"/>
      <protection locked="0"/>
    </xf>
    <xf numFmtId="0" fontId="1" fillId="0" borderId="27" xfId="0" quotePrefix="1" applyFont="1" applyBorder="1" applyAlignment="1">
      <alignment horizontal="center"/>
    </xf>
    <xf numFmtId="0" fontId="1" fillId="0" borderId="21" xfId="0" quotePrefix="1" applyFont="1" applyBorder="1" applyAlignment="1">
      <alignment horizontal="center"/>
    </xf>
    <xf numFmtId="0" fontId="10" fillId="4" borderId="6" xfId="0" applyFont="1" applyFill="1" applyBorder="1" applyAlignment="1">
      <alignment horizontal="centerContinuous"/>
    </xf>
    <xf numFmtId="0" fontId="10" fillId="4" borderId="5" xfId="0" applyFont="1" applyFill="1" applyBorder="1" applyAlignment="1">
      <alignment horizontal="centerContinuous"/>
    </xf>
    <xf numFmtId="0" fontId="10" fillId="4" borderId="11" xfId="0" applyFont="1" applyFill="1" applyBorder="1" applyAlignment="1">
      <alignment horizontal="centerContinuous"/>
    </xf>
    <xf numFmtId="0" fontId="3" fillId="4" borderId="6" xfId="0" applyFont="1" applyFill="1" applyBorder="1" applyAlignment="1">
      <alignment horizontal="centerContinuous" vertical="center"/>
    </xf>
    <xf numFmtId="0" fontId="3" fillId="4" borderId="5" xfId="0" applyFont="1" applyFill="1" applyBorder="1" applyAlignment="1">
      <alignment horizontal="centerContinuous" vertical="center"/>
    </xf>
    <xf numFmtId="0" fontId="3" fillId="4" borderId="11" xfId="0" applyFont="1" applyFill="1" applyBorder="1" applyAlignment="1">
      <alignment horizontal="centerContinuous" vertical="center"/>
    </xf>
    <xf numFmtId="164" fontId="1" fillId="0" borderId="8" xfId="0" applyNumberFormat="1" applyFont="1" applyBorder="1"/>
    <xf numFmtId="0" fontId="1" fillId="21" borderId="1" xfId="0" applyFont="1" applyFill="1" applyBorder="1" applyAlignment="1">
      <alignment horizontal="center"/>
    </xf>
    <xf numFmtId="165" fontId="1" fillId="0" borderId="8" xfId="0" applyNumberFormat="1" applyFont="1" applyBorder="1"/>
    <xf numFmtId="0" fontId="1" fillId="18" borderId="0" xfId="0" applyFont="1" applyFill="1" applyAlignment="1">
      <alignment horizontal="center"/>
    </xf>
    <xf numFmtId="0" fontId="1" fillId="22" borderId="2" xfId="0" applyFont="1" applyFill="1" applyBorder="1"/>
    <xf numFmtId="0" fontId="1" fillId="22" borderId="3" xfId="0" applyFont="1" applyFill="1" applyBorder="1"/>
    <xf numFmtId="0" fontId="1" fillId="22" borderId="3" xfId="0" applyFont="1" applyFill="1" applyBorder="1" applyAlignment="1">
      <alignment horizontal="center"/>
    </xf>
    <xf numFmtId="6" fontId="1" fillId="22" borderId="4" xfId="0" applyNumberFormat="1" applyFont="1" applyFill="1" applyBorder="1"/>
    <xf numFmtId="0" fontId="1" fillId="2" borderId="1" xfId="0" applyFont="1" applyFill="1" applyBorder="1" applyAlignment="1">
      <alignment horizontal="center"/>
    </xf>
    <xf numFmtId="0" fontId="1" fillId="3" borderId="3" xfId="0" applyFont="1" applyFill="1" applyBorder="1" applyAlignment="1">
      <alignment horizontal="center"/>
    </xf>
    <xf numFmtId="0" fontId="1" fillId="0" borderId="5" xfId="0" applyFont="1" applyBorder="1" applyAlignment="1">
      <alignment horizontal="center"/>
    </xf>
    <xf numFmtId="165" fontId="1" fillId="0" borderId="5" xfId="0" applyNumberFormat="1" applyFont="1" applyBorder="1"/>
    <xf numFmtId="6" fontId="1" fillId="0" borderId="0" xfId="0" applyNumberFormat="1" applyFont="1"/>
    <xf numFmtId="0" fontId="10" fillId="4" borderId="6" xfId="0" applyFont="1" applyFill="1" applyBorder="1" applyAlignment="1">
      <alignment horizontal="centerContinuous" vertical="center"/>
    </xf>
    <xf numFmtId="0" fontId="10" fillId="4" borderId="5" xfId="0" applyFont="1" applyFill="1" applyBorder="1" applyAlignment="1">
      <alignment horizontal="centerContinuous" vertical="center"/>
    </xf>
    <xf numFmtId="0" fontId="10" fillId="4" borderId="11" xfId="0" applyFont="1" applyFill="1" applyBorder="1" applyAlignment="1">
      <alignment horizontal="centerContinuous" vertical="center"/>
    </xf>
    <xf numFmtId="0" fontId="1" fillId="0" borderId="7" xfId="0" applyFont="1" applyBorder="1" applyAlignment="1">
      <alignment horizontal="left"/>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0" borderId="0" xfId="0" applyFont="1" applyAlignment="1">
      <alignment vertical="center"/>
    </xf>
    <xf numFmtId="0" fontId="1" fillId="0" borderId="44" xfId="0" applyFont="1" applyBorder="1" applyAlignment="1">
      <alignment vertical="center"/>
    </xf>
    <xf numFmtId="0" fontId="1" fillId="0" borderId="44" xfId="0" applyFont="1" applyBorder="1" applyAlignment="1">
      <alignment horizontal="center" vertical="center"/>
    </xf>
    <xf numFmtId="6" fontId="1" fillId="3" borderId="4" xfId="0" applyNumberFormat="1" applyFont="1" applyFill="1" applyBorder="1" applyAlignment="1">
      <alignment vertical="center"/>
    </xf>
    <xf numFmtId="0" fontId="1" fillId="2" borderId="22" xfId="0" applyFont="1" applyFill="1" applyBorder="1" applyAlignment="1">
      <alignment horizontal="center"/>
    </xf>
    <xf numFmtId="164" fontId="1" fillId="0" borderId="73" xfId="0" applyNumberFormat="1" applyFont="1" applyBorder="1"/>
    <xf numFmtId="0" fontId="1" fillId="0" borderId="73" xfId="0" applyFont="1" applyBorder="1"/>
    <xf numFmtId="164" fontId="1" fillId="0" borderId="10" xfId="0" applyNumberFormat="1" applyFont="1" applyBorder="1" applyAlignment="1">
      <alignment horizontal="center"/>
    </xf>
    <xf numFmtId="0" fontId="1" fillId="0" borderId="10" xfId="0" applyFont="1" applyBorder="1" applyAlignment="1">
      <alignment horizontal="center"/>
    </xf>
    <xf numFmtId="0" fontId="1" fillId="0" borderId="5" xfId="0" applyFont="1" applyBorder="1" applyAlignment="1">
      <alignment horizontal="left"/>
    </xf>
    <xf numFmtId="0" fontId="1" fillId="22" borderId="3" xfId="0" applyFont="1" applyFill="1" applyBorder="1" applyAlignment="1">
      <alignment vertical="center"/>
    </xf>
    <xf numFmtId="165" fontId="1" fillId="22" borderId="3" xfId="0" applyNumberFormat="1" applyFont="1" applyFill="1" applyBorder="1" applyAlignment="1">
      <alignment horizontal="center" vertical="center"/>
    </xf>
    <xf numFmtId="0" fontId="1" fillId="22" borderId="3" xfId="0" applyFont="1" applyFill="1" applyBorder="1" applyAlignment="1">
      <alignment horizontal="center" vertical="center"/>
    </xf>
    <xf numFmtId="165" fontId="1" fillId="0" borderId="23" xfId="0" applyNumberFormat="1" applyFont="1" applyBorder="1" applyAlignment="1">
      <alignment horizontal="right"/>
    </xf>
    <xf numFmtId="0" fontId="1" fillId="0" borderId="4" xfId="0" applyFont="1" applyBorder="1" applyAlignment="1">
      <alignment horizontal="center" vertical="center"/>
    </xf>
    <xf numFmtId="8" fontId="1" fillId="3" borderId="4" xfId="0" applyNumberFormat="1" applyFont="1" applyFill="1" applyBorder="1" applyAlignment="1">
      <alignment vertical="center"/>
    </xf>
    <xf numFmtId="0" fontId="1" fillId="2" borderId="15" xfId="0" applyFont="1" applyFill="1" applyBorder="1" applyAlignment="1">
      <alignment horizontal="center"/>
    </xf>
    <xf numFmtId="164" fontId="1" fillId="0" borderId="10" xfId="0" applyNumberFormat="1" applyFont="1" applyBorder="1"/>
    <xf numFmtId="0" fontId="1" fillId="0" borderId="72" xfId="0" applyFont="1" applyBorder="1"/>
    <xf numFmtId="0" fontId="1" fillId="0" borderId="3" xfId="0" applyFont="1" applyBorder="1" applyAlignment="1">
      <alignment horizontal="center"/>
    </xf>
    <xf numFmtId="165" fontId="1" fillId="0" borderId="4" xfId="0" applyNumberFormat="1" applyFont="1" applyBorder="1"/>
    <xf numFmtId="4" fontId="1" fillId="0" borderId="0" xfId="0" applyNumberFormat="1" applyFont="1" applyAlignment="1">
      <alignment horizontal="center"/>
    </xf>
    <xf numFmtId="0" fontId="1" fillId="0" borderId="67" xfId="0" applyFont="1" applyBorder="1" applyAlignment="1">
      <alignment vertical="center"/>
    </xf>
    <xf numFmtId="164" fontId="1" fillId="0" borderId="47" xfId="0" applyNumberFormat="1" applyFont="1" applyBorder="1" applyAlignment="1">
      <alignment vertical="center"/>
    </xf>
    <xf numFmtId="0" fontId="1" fillId="0" borderId="22" xfId="0" applyFont="1" applyBorder="1" applyAlignment="1">
      <alignment vertical="center"/>
    </xf>
    <xf numFmtId="0" fontId="15" fillId="0" borderId="43" xfId="0" applyFont="1" applyBorder="1" applyAlignment="1">
      <alignment vertical="center"/>
    </xf>
    <xf numFmtId="164" fontId="1" fillId="0" borderId="22" xfId="0" applyNumberFormat="1" applyFont="1" applyBorder="1" applyAlignment="1">
      <alignment vertical="center"/>
    </xf>
    <xf numFmtId="0" fontId="1" fillId="22" borderId="2" xfId="0" applyFont="1" applyFill="1" applyBorder="1" applyAlignment="1">
      <alignment vertical="center"/>
    </xf>
    <xf numFmtId="0" fontId="3" fillId="4" borderId="5" xfId="0" applyFont="1" applyFill="1" applyBorder="1" applyAlignment="1">
      <alignment horizontal="centerContinuous"/>
    </xf>
    <xf numFmtId="0" fontId="3" fillId="4" borderId="11" xfId="0" applyFont="1" applyFill="1" applyBorder="1" applyAlignment="1">
      <alignment horizontal="centerContinuous"/>
    </xf>
    <xf numFmtId="0" fontId="3" fillId="17" borderId="5" xfId="0" applyFont="1" applyFill="1" applyBorder="1" applyAlignment="1">
      <alignment horizontal="centerContinuous" vertical="center"/>
    </xf>
    <xf numFmtId="0" fontId="3" fillId="17" borderId="11" xfId="0" applyFont="1" applyFill="1" applyBorder="1" applyAlignment="1">
      <alignment horizontal="centerContinuous" vertical="center"/>
    </xf>
    <xf numFmtId="0" fontId="0" fillId="3" borderId="2" xfId="0" applyFill="1" applyBorder="1" applyAlignment="1">
      <alignment vertical="center"/>
    </xf>
    <xf numFmtId="0" fontId="1" fillId="0" borderId="0" xfId="0" applyFont="1" applyAlignment="1">
      <alignment horizontal="center" vertical="center"/>
    </xf>
    <xf numFmtId="0" fontId="1" fillId="0" borderId="8" xfId="0" applyFont="1" applyBorder="1"/>
    <xf numFmtId="0" fontId="1" fillId="21" borderId="1" xfId="0" applyFont="1" applyFill="1" applyBorder="1" applyAlignment="1">
      <alignment horizontal="center" vertical="center"/>
    </xf>
    <xf numFmtId="0" fontId="1" fillId="3" borderId="3" xfId="0" applyFont="1" applyFill="1" applyBorder="1" applyAlignment="1">
      <alignment horizontal="center" vertical="center"/>
    </xf>
    <xf numFmtId="168" fontId="1" fillId="21" borderId="1" xfId="0" applyNumberFormat="1" applyFont="1" applyFill="1" applyBorder="1" applyAlignment="1">
      <alignment horizontal="center" vertical="center"/>
    </xf>
    <xf numFmtId="0" fontId="1" fillId="18" borderId="7" xfId="0" applyFont="1" applyFill="1" applyBorder="1"/>
    <xf numFmtId="0" fontId="1" fillId="18" borderId="0" xfId="0" applyFont="1" applyFill="1" applyAlignment="1">
      <alignment horizontal="center" vertical="center"/>
    </xf>
    <xf numFmtId="0" fontId="1" fillId="18" borderId="8" xfId="0" applyFont="1" applyFill="1" applyBorder="1"/>
    <xf numFmtId="164" fontId="1" fillId="18" borderId="8" xfId="0" applyNumberFormat="1" applyFont="1" applyFill="1" applyBorder="1"/>
    <xf numFmtId="0" fontId="1" fillId="18" borderId="9" xfId="0" applyFont="1" applyFill="1" applyBorder="1"/>
    <xf numFmtId="0" fontId="1" fillId="18" borderId="10" xfId="0" applyFont="1" applyFill="1" applyBorder="1"/>
    <xf numFmtId="0" fontId="10" fillId="17" borderId="6" xfId="0" applyFont="1" applyFill="1" applyBorder="1" applyAlignment="1">
      <alignment horizontal="centerContinuous"/>
    </xf>
    <xf numFmtId="0" fontId="10" fillId="17" borderId="5" xfId="0" applyFont="1" applyFill="1" applyBorder="1" applyAlignment="1">
      <alignment horizontal="centerContinuous"/>
    </xf>
    <xf numFmtId="0" fontId="10" fillId="17" borderId="11" xfId="0" applyFont="1" applyFill="1" applyBorder="1" applyAlignment="1">
      <alignment horizontal="centerContinuous"/>
    </xf>
    <xf numFmtId="0" fontId="3" fillId="17" borderId="5" xfId="0" applyFont="1" applyFill="1" applyBorder="1" applyAlignment="1">
      <alignment horizontal="centerContinuous"/>
    </xf>
    <xf numFmtId="0" fontId="3" fillId="17" borderId="11" xfId="0" applyFont="1" applyFill="1" applyBorder="1" applyAlignment="1">
      <alignment horizontal="centerContinuous"/>
    </xf>
    <xf numFmtId="0" fontId="10" fillId="17" borderId="6" xfId="0" applyFont="1" applyFill="1" applyBorder="1" applyAlignment="1">
      <alignment horizontal="centerContinuous" vertical="center"/>
    </xf>
    <xf numFmtId="0" fontId="10" fillId="4" borderId="2" xfId="0" applyFont="1" applyFill="1" applyBorder="1" applyAlignment="1">
      <alignment horizontal="centerContinuous" vertical="center"/>
    </xf>
    <xf numFmtId="0" fontId="10" fillId="4" borderId="3" xfId="0" applyFont="1" applyFill="1" applyBorder="1" applyAlignment="1">
      <alignment horizontal="centerContinuous" vertical="center"/>
    </xf>
    <xf numFmtId="0" fontId="10" fillId="4" borderId="4" xfId="0" applyFont="1" applyFill="1" applyBorder="1" applyAlignment="1">
      <alignment horizontal="centerContinuous" vertical="center"/>
    </xf>
    <xf numFmtId="0" fontId="1" fillId="0" borderId="2" xfId="0" applyFont="1" applyBorder="1" applyAlignment="1">
      <alignment vertical="center"/>
    </xf>
    <xf numFmtId="0" fontId="1" fillId="0" borderId="0" xfId="0" applyFont="1" applyAlignment="1">
      <alignment horizontal="center" vertical="top"/>
    </xf>
    <xf numFmtId="0" fontId="6" fillId="4" borderId="5" xfId="0" applyFont="1" applyFill="1" applyBorder="1" applyAlignment="1">
      <alignment horizontal="centerContinuous" vertical="center"/>
    </xf>
    <xf numFmtId="0" fontId="6" fillId="4" borderId="11" xfId="0" applyFont="1" applyFill="1" applyBorder="1" applyAlignment="1">
      <alignment horizontal="centerContinuous" vertical="center"/>
    </xf>
    <xf numFmtId="0" fontId="6" fillId="17" borderId="5" xfId="0" applyFont="1" applyFill="1" applyBorder="1" applyAlignment="1">
      <alignment horizontal="centerContinuous"/>
    </xf>
    <xf numFmtId="0" fontId="6" fillId="17" borderId="11" xfId="0" applyFont="1" applyFill="1" applyBorder="1" applyAlignment="1">
      <alignment horizontal="centerContinuous"/>
    </xf>
    <xf numFmtId="0" fontId="9" fillId="3" borderId="2" xfId="0" applyFont="1" applyFill="1" applyBorder="1" applyAlignment="1">
      <alignment vertical="center"/>
    </xf>
    <xf numFmtId="0" fontId="0" fillId="3" borderId="2" xfId="0" applyFill="1" applyBorder="1" applyAlignment="1">
      <alignment horizontal="left" vertical="center"/>
    </xf>
    <xf numFmtId="44" fontId="5" fillId="0" borderId="0" xfId="1" applyFont="1" applyBorder="1"/>
    <xf numFmtId="0" fontId="5" fillId="2" borderId="75" xfId="0" applyFont="1" applyFill="1" applyBorder="1" applyAlignment="1">
      <alignment horizontal="center"/>
    </xf>
    <xf numFmtId="0" fontId="5" fillId="18" borderId="7" xfId="0" applyFont="1" applyFill="1" applyBorder="1" applyAlignment="1" applyProtection="1">
      <alignment horizontal="left"/>
      <protection hidden="1"/>
    </xf>
    <xf numFmtId="0" fontId="0" fillId="18" borderId="7" xfId="0" applyFill="1" applyBorder="1" applyAlignment="1" applyProtection="1">
      <alignment horizontal="left"/>
      <protection hidden="1"/>
    </xf>
    <xf numFmtId="0" fontId="0" fillId="18" borderId="0" xfId="0" applyFill="1" applyAlignment="1" applyProtection="1">
      <alignment horizontal="left"/>
      <protection hidden="1"/>
    </xf>
    <xf numFmtId="164" fontId="15" fillId="18" borderId="5" xfId="0" applyNumberFormat="1" applyFont="1" applyFill="1" applyBorder="1" applyAlignment="1" applyProtection="1">
      <alignment horizontal="center" vertical="center" wrapText="1"/>
      <protection hidden="1"/>
    </xf>
    <xf numFmtId="0" fontId="0" fillId="0" borderId="5" xfId="0" applyBorder="1" applyAlignment="1" applyProtection="1">
      <alignment horizontal="centerContinuous"/>
      <protection hidden="1"/>
    </xf>
    <xf numFmtId="0" fontId="0" fillId="0" borderId="5" xfId="0" applyBorder="1" applyAlignment="1" applyProtection="1">
      <alignment horizontal="centerContinuous" vertical="center"/>
      <protection hidden="1"/>
    </xf>
    <xf numFmtId="165" fontId="0" fillId="0" borderId="11" xfId="0" applyNumberFormat="1" applyBorder="1" applyAlignment="1" applyProtection="1">
      <alignment horizontal="centerContinuous" vertical="center"/>
      <protection hidden="1"/>
    </xf>
    <xf numFmtId="0" fontId="5" fillId="0" borderId="6" xfId="0" applyFont="1" applyBorder="1" applyAlignment="1" applyProtection="1">
      <alignment horizontal="centerContinuous"/>
      <protection hidden="1"/>
    </xf>
    <xf numFmtId="0" fontId="0" fillId="0" borderId="0" xfId="0" applyAlignment="1" applyProtection="1">
      <alignment horizontal="centerContinuous"/>
      <protection hidden="1"/>
    </xf>
    <xf numFmtId="165" fontId="0" fillId="0" borderId="8" xfId="0" applyNumberFormat="1" applyBorder="1" applyAlignment="1" applyProtection="1">
      <alignment horizontal="centerContinuous" vertical="center"/>
      <protection hidden="1"/>
    </xf>
    <xf numFmtId="0" fontId="5" fillId="0" borderId="0" xfId="0" applyFont="1" applyAlignment="1" applyProtection="1">
      <alignment horizontal="centerContinuous" vertical="center"/>
      <protection hidden="1"/>
    </xf>
    <xf numFmtId="165" fontId="5" fillId="0" borderId="8" xfId="0" applyNumberFormat="1" applyFont="1" applyBorder="1" applyAlignment="1" applyProtection="1">
      <alignment horizontal="centerContinuous" vertical="center"/>
      <protection hidden="1"/>
    </xf>
    <xf numFmtId="0" fontId="6" fillId="17" borderId="6" xfId="0" applyFont="1" applyFill="1" applyBorder="1" applyAlignment="1">
      <alignment horizontal="centerContinuous" vertical="center"/>
    </xf>
    <xf numFmtId="0" fontId="6" fillId="4" borderId="6" xfId="0" applyFont="1" applyFill="1" applyBorder="1" applyAlignment="1">
      <alignment horizontal="centerContinuous" vertical="center"/>
    </xf>
    <xf numFmtId="0" fontId="13" fillId="0" borderId="9" xfId="0" applyFont="1" applyBorder="1" applyAlignment="1">
      <alignment vertical="top"/>
    </xf>
    <xf numFmtId="0" fontId="13" fillId="0" borderId="12" xfId="0" applyFont="1" applyBorder="1"/>
    <xf numFmtId="165" fontId="1" fillId="17" borderId="0" xfId="0" applyNumberFormat="1" applyFont="1" applyFill="1" applyAlignment="1">
      <alignment horizontal="right"/>
    </xf>
    <xf numFmtId="0" fontId="1" fillId="17" borderId="0" xfId="0" applyFont="1" applyFill="1" applyAlignment="1">
      <alignment horizontal="left" vertical="center"/>
    </xf>
    <xf numFmtId="164" fontId="1" fillId="17" borderId="0" xfId="0" applyNumberFormat="1" applyFont="1" applyFill="1" applyAlignment="1">
      <alignment horizontal="center" vertical="center"/>
    </xf>
    <xf numFmtId="0" fontId="1" fillId="18" borderId="6" xfId="0" applyFont="1" applyFill="1" applyBorder="1"/>
    <xf numFmtId="0" fontId="1" fillId="18" borderId="5" xfId="0" applyFont="1" applyFill="1" applyBorder="1"/>
    <xf numFmtId="165" fontId="1" fillId="18" borderId="5" xfId="0" applyNumberFormat="1" applyFont="1" applyFill="1" applyBorder="1" applyAlignment="1">
      <alignment horizontal="right"/>
    </xf>
    <xf numFmtId="0" fontId="1" fillId="18" borderId="5" xfId="0" applyFont="1" applyFill="1" applyBorder="1" applyAlignment="1">
      <alignment horizontal="left" vertical="center"/>
    </xf>
    <xf numFmtId="0" fontId="1" fillId="18" borderId="5" xfId="0" applyFont="1" applyFill="1" applyBorder="1" applyAlignment="1">
      <alignment horizontal="center"/>
    </xf>
    <xf numFmtId="164" fontId="1" fillId="18" borderId="11" xfId="0" applyNumberFormat="1" applyFont="1" applyFill="1" applyBorder="1" applyAlignment="1">
      <alignment horizontal="center" vertical="center"/>
    </xf>
    <xf numFmtId="165" fontId="36" fillId="18" borderId="0" xfId="0" applyNumberFormat="1" applyFont="1" applyFill="1" applyAlignment="1">
      <alignment horizontal="right" vertical="center"/>
    </xf>
    <xf numFmtId="0" fontId="36" fillId="18" borderId="0" xfId="0" applyFont="1" applyFill="1" applyAlignment="1">
      <alignment horizontal="left" vertical="center"/>
    </xf>
    <xf numFmtId="0" fontId="36" fillId="18" borderId="0" xfId="0" applyFont="1" applyFill="1" applyAlignment="1">
      <alignment horizontal="center" vertical="center"/>
    </xf>
    <xf numFmtId="164" fontId="36" fillId="18" borderId="8" xfId="0" applyNumberFormat="1" applyFont="1" applyFill="1" applyBorder="1" applyAlignment="1">
      <alignment horizontal="center" vertical="center"/>
    </xf>
    <xf numFmtId="0" fontId="35" fillId="18" borderId="7" xfId="0" applyFont="1" applyFill="1" applyBorder="1"/>
    <xf numFmtId="165" fontId="1" fillId="18" borderId="0" xfId="0" applyNumberFormat="1" applyFont="1" applyFill="1" applyAlignment="1">
      <alignment horizontal="right"/>
    </xf>
    <xf numFmtId="0" fontId="1" fillId="18" borderId="0" xfId="0" applyFont="1" applyFill="1" applyAlignment="1">
      <alignment horizontal="left" vertical="center"/>
    </xf>
    <xf numFmtId="164" fontId="1" fillId="18" borderId="8" xfId="0" applyNumberFormat="1" applyFont="1" applyFill="1" applyBorder="1" applyAlignment="1">
      <alignment horizontal="center" vertical="center"/>
    </xf>
    <xf numFmtId="0" fontId="1" fillId="18" borderId="0" xfId="0" quotePrefix="1" applyFont="1" applyFill="1" applyAlignment="1">
      <alignment horizontal="left" vertical="center"/>
    </xf>
    <xf numFmtId="0" fontId="1" fillId="18" borderId="14" xfId="0" quotePrefix="1" applyFont="1" applyFill="1" applyBorder="1" applyAlignment="1">
      <alignment horizontal="center"/>
    </xf>
    <xf numFmtId="167" fontId="1" fillId="18" borderId="7" xfId="0" applyNumberFormat="1" applyFont="1" applyFill="1" applyBorder="1"/>
    <xf numFmtId="0" fontId="1" fillId="18" borderId="0" xfId="0" quotePrefix="1" applyFont="1" applyFill="1" applyAlignment="1">
      <alignment horizontal="center"/>
    </xf>
    <xf numFmtId="0" fontId="1" fillId="18" borderId="36" xfId="0" applyFont="1" applyFill="1" applyBorder="1" applyAlignment="1">
      <alignment horizontal="left" vertical="center"/>
    </xf>
    <xf numFmtId="44" fontId="10" fillId="18" borderId="10" xfId="0" applyNumberFormat="1" applyFont="1" applyFill="1" applyBorder="1"/>
    <xf numFmtId="44" fontId="6" fillId="18" borderId="10" xfId="0" applyNumberFormat="1" applyFont="1" applyFill="1" applyBorder="1" applyAlignment="1">
      <alignment vertical="center"/>
    </xf>
    <xf numFmtId="0" fontId="1" fillId="17" borderId="5" xfId="0" applyFont="1" applyFill="1" applyBorder="1" applyAlignment="1">
      <alignment horizontal="left" vertical="center"/>
    </xf>
    <xf numFmtId="0" fontId="1" fillId="17" borderId="0" xfId="0" applyFont="1" applyFill="1" applyAlignment="1">
      <alignment horizontal="right"/>
    </xf>
    <xf numFmtId="9" fontId="1" fillId="6" borderId="20" xfId="0" applyNumberFormat="1" applyFont="1" applyFill="1" applyBorder="1" applyAlignment="1" applyProtection="1">
      <alignment horizontal="center"/>
      <protection locked="0" hidden="1"/>
    </xf>
    <xf numFmtId="9" fontId="1" fillId="6" borderId="22" xfId="0" applyNumberFormat="1" applyFont="1" applyFill="1" applyBorder="1" applyAlignment="1" applyProtection="1">
      <alignment horizontal="center"/>
      <protection locked="0" hidden="1"/>
    </xf>
    <xf numFmtId="0" fontId="1" fillId="6" borderId="13" xfId="0" applyFont="1" applyFill="1" applyBorder="1" applyAlignment="1" applyProtection="1">
      <alignment horizontal="centerContinuous"/>
      <protection locked="0" hidden="1"/>
    </xf>
    <xf numFmtId="0" fontId="1" fillId="6" borderId="14" xfId="0" applyFont="1" applyFill="1" applyBorder="1" applyAlignment="1" applyProtection="1">
      <alignment horizontal="centerContinuous"/>
      <protection locked="0" hidden="1"/>
    </xf>
    <xf numFmtId="0" fontId="1" fillId="6" borderId="42" xfId="0" applyFont="1" applyFill="1" applyBorder="1" applyAlignment="1" applyProtection="1">
      <alignment horizontal="centerContinuous"/>
      <protection locked="0" hidden="1"/>
    </xf>
    <xf numFmtId="0" fontId="1" fillId="6" borderId="13" xfId="0" applyFont="1" applyFill="1" applyBorder="1" applyAlignment="1" applyProtection="1">
      <alignment horizontal="centerContinuous" vertical="center"/>
      <protection locked="0" hidden="1"/>
    </xf>
    <xf numFmtId="0" fontId="1" fillId="6" borderId="14" xfId="0" applyFont="1" applyFill="1" applyBorder="1" applyAlignment="1" applyProtection="1">
      <alignment horizontal="centerContinuous" vertical="center"/>
      <protection locked="0" hidden="1"/>
    </xf>
    <xf numFmtId="0" fontId="1" fillId="6" borderId="42" xfId="0" applyFont="1" applyFill="1" applyBorder="1" applyAlignment="1" applyProtection="1">
      <alignment horizontal="centerContinuous" vertical="center"/>
      <protection locked="0" hidden="1"/>
    </xf>
    <xf numFmtId="164" fontId="0" fillId="0" borderId="17" xfId="0" applyNumberFormat="1" applyBorder="1" applyAlignment="1" applyProtection="1">
      <alignment horizontal="right"/>
      <protection hidden="1"/>
    </xf>
    <xf numFmtId="0" fontId="5" fillId="0" borderId="7" xfId="0" applyFont="1" applyBorder="1" applyAlignment="1" applyProtection="1">
      <alignment horizontal="left"/>
      <protection hidden="1"/>
    </xf>
    <xf numFmtId="0" fontId="5" fillId="0" borderId="0" xfId="0" applyFont="1" applyAlignment="1" applyProtection="1">
      <alignment horizontal="left"/>
      <protection hidden="1"/>
    </xf>
    <xf numFmtId="0" fontId="0" fillId="0" borderId="7" xfId="0" applyBorder="1" applyAlignment="1" applyProtection="1">
      <alignment horizontal="left"/>
      <protection hidden="1"/>
    </xf>
    <xf numFmtId="0" fontId="0" fillId="0" borderId="0" xfId="0" applyAlignment="1" applyProtection="1">
      <alignment horizontal="left"/>
      <protection hidden="1"/>
    </xf>
    <xf numFmtId="0" fontId="1" fillId="20" borderId="2" xfId="0" applyFont="1" applyFill="1" applyBorder="1" applyAlignment="1" applyProtection="1">
      <alignment horizontal="left"/>
      <protection hidden="1"/>
    </xf>
    <xf numFmtId="0" fontId="13" fillId="0" borderId="5" xfId="0" applyFont="1" applyBorder="1"/>
    <xf numFmtId="0" fontId="13" fillId="0" borderId="10" xfId="0" applyFont="1" applyBorder="1"/>
    <xf numFmtId="0" fontId="6" fillId="0" borderId="10" xfId="0" applyFont="1" applyBorder="1"/>
    <xf numFmtId="0" fontId="13" fillId="0" borderId="7" xfId="0" applyFont="1" applyBorder="1"/>
    <xf numFmtId="0" fontId="13" fillId="0" borderId="8" xfId="0" applyFont="1" applyBorder="1"/>
    <xf numFmtId="0" fontId="13" fillId="0" borderId="2" xfId="0" applyFont="1" applyBorder="1"/>
    <xf numFmtId="167" fontId="13" fillId="0" borderId="3" xfId="0" applyNumberFormat="1" applyFont="1" applyBorder="1"/>
    <xf numFmtId="167" fontId="13" fillId="0" borderId="4" xfId="0" applyNumberFormat="1" applyFont="1" applyBorder="1"/>
    <xf numFmtId="0" fontId="6" fillId="0" borderId="2" xfId="0" applyFont="1" applyBorder="1" applyAlignment="1">
      <alignment vertical="center"/>
    </xf>
    <xf numFmtId="0" fontId="13" fillId="0" borderId="3" xfId="0" applyFont="1" applyBorder="1" applyAlignment="1">
      <alignment vertical="center"/>
    </xf>
    <xf numFmtId="169" fontId="13" fillId="0" borderId="3" xfId="0" applyNumberFormat="1" applyFont="1" applyBorder="1" applyAlignment="1">
      <alignment vertical="center"/>
    </xf>
    <xf numFmtId="169" fontId="13" fillId="0" borderId="4" xfId="0" applyNumberFormat="1" applyFont="1" applyBorder="1" applyAlignment="1">
      <alignment vertical="center"/>
    </xf>
    <xf numFmtId="0" fontId="13" fillId="17" borderId="0" xfId="0" applyFont="1" applyFill="1" applyAlignment="1">
      <alignment vertical="center"/>
    </xf>
    <xf numFmtId="0" fontId="6" fillId="0" borderId="10" xfId="0" applyFont="1" applyBorder="1" applyAlignment="1">
      <alignment vertical="center"/>
    </xf>
    <xf numFmtId="0" fontId="13" fillId="0" borderId="10" xfId="0" applyFont="1" applyBorder="1" applyAlignment="1">
      <alignment vertical="center"/>
    </xf>
    <xf numFmtId="0" fontId="13" fillId="0" borderId="6" xfId="0" applyFont="1" applyBorder="1" applyAlignment="1">
      <alignment vertical="center"/>
    </xf>
    <xf numFmtId="0" fontId="13" fillId="0" borderId="5" xfId="0" applyFont="1" applyBorder="1" applyAlignment="1">
      <alignment vertical="center"/>
    </xf>
    <xf numFmtId="0" fontId="13" fillId="0" borderId="11" xfId="0" applyFont="1" applyBorder="1" applyAlignment="1">
      <alignment vertical="center"/>
    </xf>
    <xf numFmtId="0" fontId="6" fillId="17" borderId="0" xfId="0" applyFont="1" applyFill="1"/>
    <xf numFmtId="0" fontId="13" fillId="0" borderId="1" xfId="0" applyFont="1" applyBorder="1" applyAlignment="1" applyProtection="1">
      <alignment horizontal="center" vertical="center"/>
      <protection locked="0"/>
    </xf>
    <xf numFmtId="0" fontId="13" fillId="0" borderId="0" xfId="0" applyFont="1" applyAlignment="1">
      <alignment horizontal="centerContinuous" vertical="distributed"/>
    </xf>
    <xf numFmtId="0" fontId="3" fillId="0" borderId="0" xfId="0" applyFont="1" applyAlignment="1">
      <alignment horizontal="centerContinuous"/>
    </xf>
    <xf numFmtId="0" fontId="13" fillId="0" borderId="0" xfId="0" applyFont="1" applyAlignment="1">
      <alignment horizontal="centerContinuous"/>
    </xf>
    <xf numFmtId="0" fontId="13" fillId="0" borderId="0" xfId="0" applyFont="1" applyAlignment="1">
      <alignment horizontal="centerContinuous" vertical="center"/>
    </xf>
    <xf numFmtId="0" fontId="13" fillId="0" borderId="6" xfId="0" applyFont="1" applyBorder="1"/>
    <xf numFmtId="0" fontId="13" fillId="0" borderId="9" xfId="0" applyFont="1" applyBorder="1"/>
    <xf numFmtId="0" fontId="38" fillId="0" borderId="0" xfId="0" applyFont="1"/>
    <xf numFmtId="0" fontId="13" fillId="0" borderId="0" xfId="0" applyFont="1" applyAlignment="1">
      <alignment horizontal="left"/>
    </xf>
    <xf numFmtId="0" fontId="6" fillId="0" borderId="6" xfId="0" applyFont="1" applyBorder="1"/>
    <xf numFmtId="0" fontId="38" fillId="0" borderId="5" xfId="0" applyFont="1" applyBorder="1"/>
    <xf numFmtId="0" fontId="13" fillId="0" borderId="0" xfId="0" applyFont="1" applyAlignment="1">
      <alignment horizontal="center"/>
    </xf>
    <xf numFmtId="0" fontId="6" fillId="17" borderId="0" xfId="0" applyFont="1" applyFill="1" applyAlignment="1">
      <alignment horizontal="center"/>
    </xf>
    <xf numFmtId="0" fontId="13" fillId="0" borderId="11" xfId="0" applyFont="1" applyBorder="1" applyAlignment="1">
      <alignment vertical="center" wrapText="1"/>
    </xf>
    <xf numFmtId="167" fontId="13" fillId="0" borderId="12" xfId="0" applyNumberFormat="1" applyFont="1" applyBorder="1" applyAlignment="1">
      <alignment vertical="center" wrapText="1"/>
    </xf>
    <xf numFmtId="0" fontId="6" fillId="0" borderId="9" xfId="0" applyFont="1" applyBorder="1"/>
    <xf numFmtId="0" fontId="1" fillId="5" borderId="6" xfId="0" applyFont="1" applyFill="1" applyBorder="1"/>
    <xf numFmtId="0" fontId="1" fillId="5" borderId="5" xfId="0" applyFont="1" applyFill="1" applyBorder="1"/>
    <xf numFmtId="0" fontId="1" fillId="5" borderId="5" xfId="0" applyFont="1" applyFill="1" applyBorder="1" applyAlignment="1">
      <alignment horizontal="center"/>
    </xf>
    <xf numFmtId="0" fontId="1" fillId="5" borderId="11" xfId="0" applyFont="1" applyFill="1" applyBorder="1"/>
    <xf numFmtId="0" fontId="1" fillId="5" borderId="7" xfId="0" applyFont="1" applyFill="1" applyBorder="1"/>
    <xf numFmtId="0" fontId="1" fillId="5" borderId="0" xfId="0" applyFont="1" applyFill="1"/>
    <xf numFmtId="0" fontId="1" fillId="5" borderId="10" xfId="0" applyFont="1" applyFill="1" applyBorder="1" applyAlignment="1">
      <alignment horizontal="center"/>
    </xf>
    <xf numFmtId="0" fontId="1" fillId="5" borderId="0" xfId="0" applyFont="1" applyFill="1" applyAlignment="1">
      <alignment horizontal="center"/>
    </xf>
    <xf numFmtId="0" fontId="1" fillId="5" borderId="10" xfId="0" applyFont="1" applyFill="1" applyBorder="1"/>
    <xf numFmtId="0" fontId="1" fillId="5" borderId="12" xfId="0" applyFont="1" applyFill="1" applyBorder="1" applyAlignment="1">
      <alignment horizontal="center"/>
    </xf>
    <xf numFmtId="0" fontId="1" fillId="5" borderId="8" xfId="0" applyFont="1" applyFill="1" applyBorder="1"/>
    <xf numFmtId="0" fontId="1" fillId="5" borderId="9" xfId="0" applyFont="1" applyFill="1" applyBorder="1"/>
    <xf numFmtId="0" fontId="1" fillId="5" borderId="12" xfId="0" applyFont="1" applyFill="1" applyBorder="1"/>
    <xf numFmtId="0" fontId="26" fillId="0" borderId="0" xfId="0" applyFont="1" applyAlignment="1">
      <alignment horizontal="centerContinuous"/>
    </xf>
    <xf numFmtId="0" fontId="26" fillId="0" borderId="0" xfId="0" applyFont="1" applyAlignment="1">
      <alignment horizontal="centerContinuous" vertical="distributed"/>
    </xf>
    <xf numFmtId="0" fontId="26" fillId="0" borderId="0" xfId="0" applyFont="1"/>
    <xf numFmtId="0" fontId="13" fillId="0" borderId="0" xfId="0" applyFont="1" applyAlignment="1">
      <alignment horizontal="centerContinuous" vertical="center" shrinkToFit="1"/>
    </xf>
    <xf numFmtId="0" fontId="28" fillId="0" borderId="0" xfId="0" applyFont="1" applyAlignment="1">
      <alignment horizontal="centerContinuous" vertical="center" shrinkToFit="1"/>
    </xf>
    <xf numFmtId="167" fontId="13" fillId="19" borderId="0" xfId="0" applyNumberFormat="1" applyFont="1" applyFill="1"/>
    <xf numFmtId="0" fontId="56" fillId="18" borderId="2" xfId="0" applyFont="1" applyFill="1" applyBorder="1" applyAlignment="1">
      <alignment horizontal="center" vertical="center"/>
    </xf>
    <xf numFmtId="0" fontId="56" fillId="20" borderId="5" xfId="0" applyFont="1" applyFill="1" applyBorder="1" applyAlignment="1">
      <alignment horizontal="center"/>
    </xf>
    <xf numFmtId="0" fontId="13" fillId="0" borderId="9" xfId="0" applyFont="1" applyBorder="1" applyAlignment="1">
      <alignment vertical="center" shrinkToFit="1"/>
    </xf>
    <xf numFmtId="0" fontId="13" fillId="0" borderId="10" xfId="0" applyFont="1" applyBorder="1" applyAlignment="1">
      <alignment vertical="center" shrinkToFit="1"/>
    </xf>
    <xf numFmtId="0" fontId="1" fillId="0" borderId="5" xfId="0" quotePrefix="1" applyFont="1" applyBorder="1" applyAlignment="1" applyProtection="1">
      <alignment horizontal="left" vertical="center"/>
      <protection hidden="1"/>
    </xf>
    <xf numFmtId="0" fontId="4" fillId="0" borderId="7" xfId="0" applyFont="1" applyBorder="1" applyProtection="1">
      <protection hidden="1"/>
    </xf>
    <xf numFmtId="0" fontId="4" fillId="0" borderId="10" xfId="0" applyFont="1" applyBorder="1" applyAlignment="1" applyProtection="1">
      <alignment vertical="center"/>
      <protection hidden="1"/>
    </xf>
    <xf numFmtId="4" fontId="4" fillId="0" borderId="10" xfId="0" applyNumberFormat="1" applyFont="1" applyBorder="1" applyAlignment="1" applyProtection="1">
      <alignment vertical="center"/>
      <protection hidden="1"/>
    </xf>
    <xf numFmtId="164" fontId="4" fillId="0" borderId="10" xfId="0" applyNumberFormat="1" applyFont="1" applyBorder="1" applyAlignment="1" applyProtection="1">
      <alignment horizontal="left" vertical="center"/>
      <protection hidden="1"/>
    </xf>
    <xf numFmtId="164" fontId="4" fillId="0" borderId="10" xfId="0" applyNumberFormat="1" applyFont="1" applyBorder="1" applyAlignment="1" applyProtection="1">
      <alignment horizontal="center" vertical="center"/>
      <protection hidden="1"/>
    </xf>
    <xf numFmtId="0" fontId="4" fillId="0" borderId="10" xfId="0" applyFont="1" applyBorder="1" applyAlignment="1" applyProtection="1">
      <alignment horizontal="center"/>
      <protection hidden="1"/>
    </xf>
    <xf numFmtId="164" fontId="4" fillId="0" borderId="12" xfId="0" applyNumberFormat="1" applyFont="1" applyBorder="1" applyAlignment="1" applyProtection="1">
      <alignment horizontal="center"/>
      <protection hidden="1"/>
    </xf>
    <xf numFmtId="0" fontId="4" fillId="0" borderId="9" xfId="0" applyFont="1" applyBorder="1" applyAlignment="1" applyProtection="1">
      <alignment horizontal="left" vertical="center"/>
      <protection hidden="1"/>
    </xf>
    <xf numFmtId="0" fontId="5" fillId="15" borderId="7" xfId="0" applyFont="1" applyFill="1" applyBorder="1"/>
    <xf numFmtId="164" fontId="5" fillId="15" borderId="5" xfId="0" applyNumberFormat="1" applyFont="1" applyFill="1" applyBorder="1" applyAlignment="1">
      <alignment horizontal="left"/>
    </xf>
    <xf numFmtId="164" fontId="5" fillId="15" borderId="0" xfId="0" applyNumberFormat="1" applyFont="1" applyFill="1" applyAlignment="1">
      <alignment horizontal="left"/>
    </xf>
    <xf numFmtId="0" fontId="5" fillId="15" borderId="0" xfId="0" applyFont="1" applyFill="1" applyAlignment="1">
      <alignment horizontal="right"/>
    </xf>
    <xf numFmtId="0" fontId="5" fillId="15" borderId="0" xfId="0" applyFont="1" applyFill="1"/>
    <xf numFmtId="165" fontId="5" fillId="15" borderId="8" xfId="0" applyNumberFormat="1" applyFont="1" applyFill="1" applyBorder="1" applyAlignment="1">
      <alignment horizontal="center" vertical="top"/>
    </xf>
    <xf numFmtId="0" fontId="5" fillId="15" borderId="5" xfId="0" applyFont="1" applyFill="1" applyBorder="1" applyAlignment="1">
      <alignment horizontal="center"/>
    </xf>
    <xf numFmtId="0" fontId="5" fillId="0" borderId="5" xfId="0" applyFont="1" applyBorder="1" applyAlignment="1">
      <alignment horizontal="center"/>
    </xf>
    <xf numFmtId="164" fontId="5" fillId="0" borderId="5" xfId="0" applyNumberFormat="1" applyFont="1" applyBorder="1" applyAlignment="1">
      <alignment horizontal="left"/>
    </xf>
    <xf numFmtId="164" fontId="5" fillId="0" borderId="0" xfId="0" applyNumberFormat="1" applyFont="1" applyAlignment="1">
      <alignment horizontal="left"/>
    </xf>
    <xf numFmtId="0" fontId="5" fillId="0" borderId="0" xfId="0" applyFont="1" applyAlignment="1">
      <alignment horizontal="right"/>
    </xf>
    <xf numFmtId="165" fontId="5" fillId="0" borderId="5" xfId="0" applyNumberFormat="1" applyFont="1" applyBorder="1" applyAlignment="1">
      <alignment horizontal="center" vertical="top"/>
    </xf>
    <xf numFmtId="0" fontId="5" fillId="14" borderId="65" xfId="0" applyFont="1" applyFill="1" applyBorder="1"/>
    <xf numFmtId="0" fontId="5" fillId="21" borderId="60" xfId="0" applyFont="1" applyFill="1" applyBorder="1" applyAlignment="1">
      <alignment horizontal="center"/>
    </xf>
    <xf numFmtId="164" fontId="5" fillId="14" borderId="76" xfId="0" applyNumberFormat="1" applyFont="1" applyFill="1" applyBorder="1" applyAlignment="1">
      <alignment horizontal="left"/>
    </xf>
    <xf numFmtId="164" fontId="5" fillId="14" borderId="37" xfId="0" applyNumberFormat="1" applyFont="1" applyFill="1" applyBorder="1" applyAlignment="1">
      <alignment horizontal="left"/>
    </xf>
    <xf numFmtId="0" fontId="5" fillId="14" borderId="37" xfId="0" applyFont="1" applyFill="1" applyBorder="1" applyAlignment="1">
      <alignment horizontal="right"/>
    </xf>
    <xf numFmtId="0" fontId="5" fillId="14" borderId="37" xfId="0" applyFont="1" applyFill="1" applyBorder="1"/>
    <xf numFmtId="0" fontId="0" fillId="19" borderId="0" xfId="0" applyFill="1"/>
    <xf numFmtId="0" fontId="1" fillId="19" borderId="0" xfId="0" applyFont="1" applyFill="1" applyAlignment="1">
      <alignment vertical="center"/>
    </xf>
    <xf numFmtId="0" fontId="1" fillId="17" borderId="0" xfId="0" applyFont="1" applyFill="1" applyAlignment="1">
      <alignment vertical="center"/>
    </xf>
    <xf numFmtId="167" fontId="1" fillId="17" borderId="0" xfId="0" applyNumberFormat="1" applyFont="1" applyFill="1" applyAlignment="1">
      <alignment vertical="center"/>
    </xf>
    <xf numFmtId="0" fontId="35" fillId="0" borderId="9" xfId="0" applyFont="1" applyBorder="1"/>
    <xf numFmtId="164" fontId="1" fillId="0" borderId="12" xfId="0" applyNumberFormat="1" applyFont="1" applyBorder="1" applyAlignment="1">
      <alignment horizontal="center"/>
    </xf>
    <xf numFmtId="0" fontId="27" fillId="20" borderId="2" xfId="0" applyFont="1" applyFill="1" applyBorder="1" applyAlignment="1">
      <alignment horizontal="centerContinuous" vertical="center"/>
    </xf>
    <xf numFmtId="0" fontId="27" fillId="20" borderId="3" xfId="0" applyFont="1" applyFill="1" applyBorder="1" applyAlignment="1">
      <alignment horizontal="centerContinuous" vertical="center"/>
    </xf>
    <xf numFmtId="0" fontId="27" fillId="20" borderId="4" xfId="0" applyFont="1" applyFill="1" applyBorder="1" applyAlignment="1">
      <alignment horizontal="centerContinuous" vertical="center"/>
    </xf>
    <xf numFmtId="0" fontId="1" fillId="20" borderId="2" xfId="0" applyFont="1" applyFill="1" applyBorder="1" applyAlignment="1">
      <alignment horizontal="centerContinuous" vertical="center"/>
    </xf>
    <xf numFmtId="0" fontId="1" fillId="20" borderId="3" xfId="0" applyFont="1" applyFill="1" applyBorder="1" applyAlignment="1">
      <alignment horizontal="centerContinuous" vertical="center"/>
    </xf>
    <xf numFmtId="0" fontId="1" fillId="20" borderId="4" xfId="0" applyFont="1" applyFill="1" applyBorder="1" applyAlignment="1">
      <alignment horizontal="centerContinuous" vertical="center"/>
    </xf>
    <xf numFmtId="0" fontId="1" fillId="0" borderId="7" xfId="0" applyFont="1" applyBorder="1" applyAlignment="1">
      <alignment horizontal="center"/>
    </xf>
    <xf numFmtId="0" fontId="1" fillId="0" borderId="36" xfId="0" quotePrefix="1" applyFont="1" applyBorder="1" applyAlignment="1">
      <alignment horizontal="center"/>
    </xf>
    <xf numFmtId="0" fontId="1" fillId="0" borderId="0" xfId="0" applyFont="1" applyAlignment="1">
      <alignment vertical="center" wrapText="1"/>
    </xf>
    <xf numFmtId="0" fontId="1" fillId="0" borderId="14" xfId="0" quotePrefix="1" applyFont="1" applyBorder="1"/>
    <xf numFmtId="0" fontId="1" fillId="0" borderId="14" xfId="0" applyFont="1" applyBorder="1"/>
    <xf numFmtId="0" fontId="1" fillId="0" borderId="0" xfId="0" quotePrefix="1" applyFont="1"/>
    <xf numFmtId="0" fontId="5" fillId="20" borderId="2" xfId="0" applyFont="1" applyFill="1" applyBorder="1" applyAlignment="1">
      <alignment horizontal="centerContinuous" vertical="center"/>
    </xf>
    <xf numFmtId="0" fontId="1" fillId="0" borderId="30" xfId="0" quotePrefix="1" applyFont="1" applyBorder="1" applyAlignment="1">
      <alignment horizontal="center"/>
    </xf>
    <xf numFmtId="167" fontId="1" fillId="0" borderId="10" xfId="0" applyNumberFormat="1" applyFont="1" applyBorder="1"/>
    <xf numFmtId="0" fontId="1" fillId="0" borderId="22" xfId="0" quotePrefix="1" applyFont="1" applyBorder="1" applyAlignment="1">
      <alignment horizontal="center"/>
    </xf>
    <xf numFmtId="167" fontId="17" fillId="0" borderId="5" xfId="0" applyNumberFormat="1" applyFont="1" applyBorder="1"/>
    <xf numFmtId="167" fontId="17" fillId="0" borderId="0" xfId="0" applyNumberFormat="1" applyFont="1"/>
    <xf numFmtId="0" fontId="5" fillId="20" borderId="2" xfId="0" applyFont="1" applyFill="1" applyBorder="1" applyAlignment="1">
      <alignment horizontal="centerContinuous"/>
    </xf>
    <xf numFmtId="0" fontId="5" fillId="20" borderId="3" xfId="0" applyFont="1" applyFill="1" applyBorder="1" applyAlignment="1">
      <alignment horizontal="centerContinuous"/>
    </xf>
    <xf numFmtId="170" fontId="1" fillId="0" borderId="30" xfId="0" applyNumberFormat="1" applyFont="1" applyBorder="1" applyAlignment="1">
      <alignment horizontal="center"/>
    </xf>
    <xf numFmtId="167" fontId="1" fillId="0" borderId="0" xfId="0" applyNumberFormat="1" applyFont="1"/>
    <xf numFmtId="0" fontId="5" fillId="0" borderId="7" xfId="0" applyFont="1" applyBorder="1" applyAlignment="1">
      <alignment horizontal="centerContinuous"/>
    </xf>
    <xf numFmtId="0" fontId="5" fillId="0" borderId="0" xfId="0" applyFont="1" applyAlignment="1">
      <alignment horizontal="centerContinuous"/>
    </xf>
    <xf numFmtId="3" fontId="1" fillId="0" borderId="0" xfId="0" applyNumberFormat="1" applyFont="1" applyAlignment="1">
      <alignment horizontal="left"/>
    </xf>
    <xf numFmtId="3" fontId="1" fillId="0" borderId="0" xfId="0" quotePrefix="1" applyNumberFormat="1" applyFont="1"/>
    <xf numFmtId="167" fontId="1" fillId="0" borderId="0" xfId="0" applyNumberFormat="1" applyFont="1" applyAlignment="1">
      <alignment horizontal="left"/>
    </xf>
    <xf numFmtId="3" fontId="1" fillId="0" borderId="20" xfId="0" quotePrefix="1" applyNumberFormat="1" applyFont="1" applyBorder="1" applyAlignment="1">
      <alignment horizontal="center"/>
    </xf>
    <xf numFmtId="3" fontId="1" fillId="0" borderId="21" xfId="0" quotePrefix="1" applyNumberFormat="1" applyFont="1" applyBorder="1" applyAlignment="1">
      <alignment horizontal="center"/>
    </xf>
    <xf numFmtId="167" fontId="17" fillId="0" borderId="10" xfId="0" applyNumberFormat="1" applyFont="1" applyBorder="1" applyAlignment="1">
      <alignment horizontal="left"/>
    </xf>
    <xf numFmtId="0" fontId="1" fillId="0" borderId="10" xfId="0" applyFont="1" applyBorder="1" applyAlignment="1">
      <alignment horizontal="left"/>
    </xf>
    <xf numFmtId="167" fontId="17" fillId="0" borderId="10" xfId="0" applyNumberFormat="1" applyFont="1" applyBorder="1"/>
    <xf numFmtId="0" fontId="1" fillId="0" borderId="47" xfId="0" quotePrefix="1"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164" fontId="1" fillId="0" borderId="25" xfId="0" quotePrefix="1" applyNumberFormat="1" applyFont="1" applyBorder="1"/>
    <xf numFmtId="171" fontId="1" fillId="0" borderId="25" xfId="0" quotePrefix="1" applyNumberFormat="1" applyFont="1" applyBorder="1" applyAlignment="1">
      <alignment horizontal="center"/>
    </xf>
    <xf numFmtId="165" fontId="1" fillId="0" borderId="25" xfId="0" applyNumberFormat="1" applyFont="1" applyBorder="1"/>
    <xf numFmtId="164" fontId="1" fillId="0" borderId="0" xfId="0" quotePrefix="1" applyNumberFormat="1" applyFont="1"/>
    <xf numFmtId="171" fontId="1" fillId="0" borderId="0" xfId="0" quotePrefix="1" applyNumberFormat="1" applyFont="1" applyAlignment="1">
      <alignment horizontal="center"/>
    </xf>
    <xf numFmtId="171" fontId="1" fillId="0" borderId="0" xfId="0" applyNumberFormat="1" applyFont="1" applyAlignment="1">
      <alignment horizontal="center"/>
    </xf>
    <xf numFmtId="0" fontId="1" fillId="18" borderId="27" xfId="0" applyFont="1" applyFill="1" applyBorder="1" applyAlignment="1">
      <alignment horizontal="center"/>
    </xf>
    <xf numFmtId="0" fontId="1" fillId="18" borderId="36" xfId="0" applyFont="1" applyFill="1" applyBorder="1" applyAlignment="1">
      <alignment horizontal="center"/>
    </xf>
    <xf numFmtId="0" fontId="1" fillId="20" borderId="2" xfId="0" applyFont="1" applyFill="1" applyBorder="1"/>
    <xf numFmtId="0" fontId="1" fillId="20" borderId="3" xfId="0" applyFont="1" applyFill="1" applyBorder="1" applyAlignment="1">
      <alignment horizontal="center"/>
    </xf>
    <xf numFmtId="0" fontId="6" fillId="20" borderId="2" xfId="0" applyFont="1" applyFill="1" applyBorder="1"/>
    <xf numFmtId="167" fontId="17" fillId="20" borderId="3" xfId="0" applyNumberFormat="1" applyFont="1" applyFill="1" applyBorder="1"/>
    <xf numFmtId="0" fontId="1" fillId="20" borderId="3" xfId="0" quotePrefix="1" applyFont="1" applyFill="1" applyBorder="1"/>
    <xf numFmtId="167" fontId="17" fillId="0" borderId="0" xfId="0" applyNumberFormat="1" applyFont="1" applyProtection="1">
      <protection hidden="1"/>
    </xf>
    <xf numFmtId="0" fontId="1" fillId="0" borderId="6" xfId="0" applyFont="1" applyBorder="1" applyProtection="1">
      <protection hidden="1"/>
    </xf>
    <xf numFmtId="0" fontId="28" fillId="0" borderId="0" xfId="0" applyFont="1" applyAlignment="1" applyProtection="1">
      <alignment vertical="center"/>
      <protection hidden="1"/>
    </xf>
    <xf numFmtId="0" fontId="9" fillId="17" borderId="4" xfId="2" applyFill="1" applyBorder="1" applyAlignment="1">
      <alignment horizontal="center" vertical="center" wrapText="1"/>
    </xf>
    <xf numFmtId="44" fontId="9" fillId="17" borderId="1" xfId="1" applyFont="1" applyFill="1" applyBorder="1" applyAlignment="1">
      <alignment horizontal="center" vertical="center"/>
    </xf>
    <xf numFmtId="0" fontId="9" fillId="21" borderId="13" xfId="2" applyFill="1" applyBorder="1"/>
    <xf numFmtId="0" fontId="9" fillId="21" borderId="14" xfId="2" applyFill="1" applyBorder="1"/>
    <xf numFmtId="0" fontId="5" fillId="14" borderId="15" xfId="0" applyFont="1" applyFill="1" applyBorder="1"/>
    <xf numFmtId="164" fontId="5" fillId="22" borderId="4" xfId="0" applyNumberFormat="1" applyFont="1" applyFill="1" applyBorder="1" applyAlignment="1">
      <alignment vertical="center"/>
    </xf>
    <xf numFmtId="0" fontId="6" fillId="17" borderId="5" xfId="0" applyFont="1" applyFill="1" applyBorder="1" applyAlignment="1">
      <alignment horizontal="centerContinuous" vertical="center"/>
    </xf>
    <xf numFmtId="0" fontId="6" fillId="17" borderId="11" xfId="0" applyFont="1" applyFill="1" applyBorder="1" applyAlignment="1">
      <alignment horizontal="centerContinuous" vertical="center"/>
    </xf>
    <xf numFmtId="0" fontId="1" fillId="6" borderId="14" xfId="0" applyFont="1" applyFill="1" applyBorder="1" applyAlignment="1" applyProtection="1">
      <alignment horizontal="center" vertical="center"/>
      <protection locked="0"/>
    </xf>
    <xf numFmtId="0" fontId="1" fillId="6" borderId="42" xfId="0" applyFont="1" applyFill="1" applyBorder="1" applyAlignment="1" applyProtection="1">
      <alignment horizontal="center" vertical="center"/>
      <protection locked="0"/>
    </xf>
    <xf numFmtId="164" fontId="1" fillId="6" borderId="20" xfId="0" applyNumberFormat="1" applyFont="1" applyFill="1" applyBorder="1" applyAlignment="1" applyProtection="1">
      <alignment vertical="center" shrinkToFit="1"/>
      <protection locked="0"/>
    </xf>
    <xf numFmtId="164" fontId="1" fillId="6" borderId="20" xfId="0" applyNumberFormat="1" applyFont="1" applyFill="1" applyBorder="1" applyAlignment="1" applyProtection="1">
      <alignment horizontal="right" vertical="center" shrinkToFit="1"/>
      <protection locked="0"/>
    </xf>
    <xf numFmtId="164" fontId="1" fillId="6" borderId="22" xfId="0" applyNumberFormat="1" applyFont="1" applyFill="1" applyBorder="1" applyAlignment="1" applyProtection="1">
      <alignment horizontal="right" vertical="center" shrinkToFit="1"/>
      <protection locked="0"/>
    </xf>
    <xf numFmtId="164" fontId="1" fillId="6" borderId="27" xfId="0" applyNumberFormat="1" applyFont="1" applyFill="1" applyBorder="1" applyAlignment="1" applyProtection="1">
      <alignment horizontal="right" vertical="center" shrinkToFit="1"/>
      <protection locked="0"/>
    </xf>
    <xf numFmtId="0" fontId="1" fillId="6" borderId="13" xfId="0" applyFont="1" applyFill="1" applyBorder="1" applyAlignment="1" applyProtection="1">
      <alignment horizontal="left" vertical="center"/>
      <protection locked="0"/>
    </xf>
    <xf numFmtId="0" fontId="1" fillId="6" borderId="14" xfId="0" applyFont="1" applyFill="1" applyBorder="1" applyAlignment="1" applyProtection="1">
      <alignment horizontal="left" vertical="center"/>
      <protection locked="0"/>
    </xf>
    <xf numFmtId="0" fontId="1" fillId="6" borderId="42" xfId="0" applyFont="1" applyFill="1" applyBorder="1" applyAlignment="1" applyProtection="1">
      <alignment horizontal="left" vertical="center"/>
      <protection locked="0"/>
    </xf>
    <xf numFmtId="164" fontId="1" fillId="6" borderId="20" xfId="0" applyNumberFormat="1" applyFont="1" applyFill="1" applyBorder="1" applyAlignment="1" applyProtection="1">
      <alignment horizontal="center" vertical="center" shrinkToFit="1"/>
      <protection locked="0"/>
    </xf>
    <xf numFmtId="164" fontId="1" fillId="6" borderId="22" xfId="0" applyNumberFormat="1" applyFont="1" applyFill="1" applyBorder="1" applyAlignment="1" applyProtection="1">
      <alignment horizontal="center" vertical="center" shrinkToFit="1"/>
      <protection locked="0"/>
    </xf>
    <xf numFmtId="164" fontId="1" fillId="6" borderId="30" xfId="0" applyNumberFormat="1" applyFont="1" applyFill="1" applyBorder="1" applyAlignment="1" applyProtection="1">
      <alignment horizontal="center" vertical="center" shrinkToFit="1"/>
      <protection locked="0"/>
    </xf>
    <xf numFmtId="164" fontId="1" fillId="0" borderId="20" xfId="0" applyNumberFormat="1" applyFont="1" applyBorder="1" applyAlignment="1" applyProtection="1">
      <alignment horizontal="center" shrinkToFit="1"/>
      <protection hidden="1"/>
    </xf>
    <xf numFmtId="164" fontId="1" fillId="6" borderId="20" xfId="0" applyNumberFormat="1" applyFont="1" applyFill="1" applyBorder="1" applyAlignment="1" applyProtection="1">
      <alignment horizontal="center" shrinkToFit="1"/>
      <protection locked="0" hidden="1"/>
    </xf>
    <xf numFmtId="164" fontId="1" fillId="0" borderId="13" xfId="0" applyNumberFormat="1" applyFont="1" applyBorder="1" applyAlignment="1" applyProtection="1">
      <alignment horizontal="center" shrinkToFit="1"/>
      <protection hidden="1"/>
    </xf>
    <xf numFmtId="164" fontId="1" fillId="6" borderId="13" xfId="0" applyNumberFormat="1" applyFont="1" applyFill="1" applyBorder="1" applyAlignment="1" applyProtection="1">
      <alignment horizontal="center" shrinkToFit="1"/>
      <protection locked="0" hidden="1"/>
    </xf>
    <xf numFmtId="164" fontId="1" fillId="6" borderId="22" xfId="0" applyNumberFormat="1" applyFont="1" applyFill="1" applyBorder="1" applyAlignment="1" applyProtection="1">
      <alignment horizontal="center" shrinkToFit="1"/>
      <protection locked="0" hidden="1"/>
    </xf>
    <xf numFmtId="165" fontId="1" fillId="18" borderId="20" xfId="0" applyNumberFormat="1" applyFont="1" applyFill="1" applyBorder="1" applyAlignment="1">
      <alignment horizontal="center" shrinkToFit="1"/>
    </xf>
    <xf numFmtId="0" fontId="1" fillId="20" borderId="20" xfId="0" quotePrefix="1" applyFont="1" applyFill="1" applyBorder="1" applyAlignment="1">
      <alignment horizontal="center"/>
    </xf>
    <xf numFmtId="0" fontId="1" fillId="20" borderId="20" xfId="0" applyFont="1" applyFill="1" applyBorder="1" applyAlignment="1">
      <alignment horizontal="center"/>
    </xf>
    <xf numFmtId="164" fontId="1" fillId="0" borderId="20" xfId="0" quotePrefix="1" applyNumberFormat="1" applyFont="1" applyBorder="1" applyAlignment="1">
      <alignment shrinkToFit="1"/>
    </xf>
    <xf numFmtId="171" fontId="1" fillId="0" borderId="20" xfId="0" quotePrefix="1" applyNumberFormat="1" applyFont="1" applyBorder="1" applyAlignment="1">
      <alignment horizontal="center" shrinkToFit="1"/>
    </xf>
    <xf numFmtId="0" fontId="1" fillId="6" borderId="20" xfId="0" applyFont="1" applyFill="1" applyBorder="1" applyAlignment="1" applyProtection="1">
      <alignment horizontal="center" shrinkToFit="1"/>
      <protection locked="0"/>
    </xf>
    <xf numFmtId="164" fontId="1" fillId="6" borderId="20" xfId="0" quotePrefix="1" applyNumberFormat="1" applyFont="1" applyFill="1" applyBorder="1" applyAlignment="1" applyProtection="1">
      <alignment shrinkToFit="1"/>
      <protection locked="0"/>
    </xf>
    <xf numFmtId="9" fontId="1" fillId="6" borderId="20" xfId="0" applyNumberFormat="1" applyFont="1" applyFill="1" applyBorder="1" applyAlignment="1" applyProtection="1">
      <alignment horizontal="center" shrinkToFit="1"/>
      <protection locked="0"/>
    </xf>
    <xf numFmtId="165" fontId="1" fillId="18" borderId="0" xfId="0" applyNumberFormat="1" applyFont="1" applyFill="1" applyAlignment="1" applyProtection="1">
      <alignment horizontal="right" shrinkToFit="1"/>
      <protection hidden="1"/>
    </xf>
    <xf numFmtId="165" fontId="1" fillId="18" borderId="0" xfId="0" applyNumberFormat="1" applyFont="1" applyFill="1" applyAlignment="1" applyProtection="1">
      <alignment shrinkToFit="1"/>
      <protection hidden="1"/>
    </xf>
    <xf numFmtId="164" fontId="1" fillId="6" borderId="22" xfId="0" applyNumberFormat="1" applyFont="1" applyFill="1" applyBorder="1" applyAlignment="1" applyProtection="1">
      <alignment shrinkToFit="1"/>
      <protection locked="0"/>
    </xf>
    <xf numFmtId="0" fontId="43" fillId="16" borderId="2" xfId="0" applyFont="1" applyFill="1" applyBorder="1" applyAlignment="1" applyProtection="1">
      <alignment horizontal="centerContinuous" vertical="center"/>
      <protection hidden="1"/>
    </xf>
    <xf numFmtId="0" fontId="57" fillId="16" borderId="3" xfId="0" applyFont="1" applyFill="1" applyBorder="1" applyAlignment="1" applyProtection="1">
      <alignment horizontal="centerContinuous" vertical="center"/>
      <protection hidden="1"/>
    </xf>
    <xf numFmtId="0" fontId="57" fillId="16" borderId="4" xfId="0" applyFont="1" applyFill="1" applyBorder="1" applyAlignment="1" applyProtection="1">
      <alignment horizontal="centerContinuous" vertical="center"/>
      <protection hidden="1"/>
    </xf>
    <xf numFmtId="0" fontId="1" fillId="16" borderId="20" xfId="0" quotePrefix="1" applyFont="1" applyFill="1" applyBorder="1" applyAlignment="1" applyProtection="1">
      <alignment horizontal="center"/>
      <protection hidden="1"/>
    </xf>
    <xf numFmtId="0" fontId="44" fillId="16" borderId="2" xfId="0" applyFont="1" applyFill="1" applyBorder="1" applyAlignment="1">
      <alignment horizontal="centerContinuous"/>
    </xf>
    <xf numFmtId="0" fontId="44" fillId="16" borderId="3" xfId="0" applyFont="1" applyFill="1" applyBorder="1" applyAlignment="1">
      <alignment horizontal="centerContinuous"/>
    </xf>
    <xf numFmtId="0" fontId="5" fillId="16" borderId="2" xfId="0" applyFont="1" applyFill="1" applyBorder="1" applyAlignment="1">
      <alignment horizontal="centerContinuous" vertical="center"/>
    </xf>
    <xf numFmtId="0" fontId="5" fillId="16" borderId="3" xfId="0" applyFont="1" applyFill="1" applyBorder="1" applyAlignment="1">
      <alignment horizontal="centerContinuous" vertical="center"/>
    </xf>
    <xf numFmtId="164" fontId="16" fillId="15" borderId="5" xfId="0" applyNumberFormat="1" applyFont="1" applyFill="1" applyBorder="1" applyAlignment="1">
      <alignment horizontal="left"/>
    </xf>
    <xf numFmtId="0" fontId="59" fillId="15" borderId="7" xfId="0" applyFont="1" applyFill="1" applyBorder="1"/>
    <xf numFmtId="164" fontId="1" fillId="18" borderId="0" xfId="0" applyNumberFormat="1" applyFont="1" applyFill="1" applyAlignment="1" applyProtection="1">
      <alignment horizontal="right" shrinkToFit="1"/>
      <protection hidden="1"/>
    </xf>
    <xf numFmtId="0" fontId="1" fillId="18" borderId="0" xfId="0" applyFont="1" applyFill="1" applyAlignment="1" applyProtection="1">
      <alignment horizontal="right" shrinkToFit="1"/>
      <protection hidden="1"/>
    </xf>
    <xf numFmtId="165" fontId="1" fillId="18" borderId="10" xfId="0" applyNumberFormat="1" applyFont="1" applyFill="1" applyBorder="1" applyAlignment="1" applyProtection="1">
      <alignment horizontal="right" shrinkToFit="1"/>
      <protection hidden="1"/>
    </xf>
    <xf numFmtId="164" fontId="1" fillId="18" borderId="8" xfId="0" quotePrefix="1" applyNumberFormat="1" applyFont="1" applyFill="1" applyBorder="1" applyAlignment="1" applyProtection="1">
      <alignment horizontal="center" vertical="center" shrinkToFit="1"/>
      <protection hidden="1"/>
    </xf>
    <xf numFmtId="164" fontId="1" fillId="18" borderId="12" xfId="0" quotePrefix="1" applyNumberFormat="1" applyFont="1" applyFill="1" applyBorder="1" applyAlignment="1" applyProtection="1">
      <alignment horizontal="center" vertical="center" shrinkToFit="1"/>
      <protection hidden="1"/>
    </xf>
    <xf numFmtId="164" fontId="1" fillId="18" borderId="61" xfId="0" quotePrefix="1" applyNumberFormat="1" applyFont="1" applyFill="1" applyBorder="1" applyAlignment="1" applyProtection="1">
      <alignment horizontal="center" vertical="center" shrinkToFit="1"/>
      <protection hidden="1"/>
    </xf>
    <xf numFmtId="164" fontId="5" fillId="18" borderId="11" xfId="0" applyNumberFormat="1" applyFont="1" applyFill="1" applyBorder="1" applyAlignment="1" applyProtection="1">
      <alignment horizontal="center" vertical="center" shrinkToFit="1"/>
      <protection hidden="1"/>
    </xf>
    <xf numFmtId="164" fontId="5" fillId="18" borderId="8" xfId="0" applyNumberFormat="1" applyFont="1" applyFill="1" applyBorder="1" applyAlignment="1" applyProtection="1">
      <alignment horizontal="center" vertical="center" shrinkToFit="1"/>
      <protection hidden="1"/>
    </xf>
    <xf numFmtId="164" fontId="1" fillId="18" borderId="11" xfId="0" quotePrefix="1" applyNumberFormat="1" applyFont="1" applyFill="1" applyBorder="1" applyAlignment="1" applyProtection="1">
      <alignment horizontal="center" vertical="center" shrinkToFit="1"/>
      <protection hidden="1"/>
    </xf>
    <xf numFmtId="164" fontId="1" fillId="18" borderId="31" xfId="0" quotePrefix="1" applyNumberFormat="1" applyFont="1" applyFill="1" applyBorder="1" applyAlignment="1" applyProtection="1">
      <alignment horizontal="center" vertical="center" shrinkToFit="1"/>
      <protection hidden="1"/>
    </xf>
    <xf numFmtId="0" fontId="5" fillId="18" borderId="11" xfId="0" applyFont="1" applyFill="1" applyBorder="1" applyAlignment="1" applyProtection="1">
      <alignment shrinkToFit="1"/>
      <protection hidden="1"/>
    </xf>
    <xf numFmtId="164" fontId="1" fillId="18" borderId="8" xfId="0" applyNumberFormat="1" applyFont="1" applyFill="1" applyBorder="1" applyAlignment="1" applyProtection="1">
      <alignment horizontal="center" vertical="center" shrinkToFit="1"/>
      <protection hidden="1"/>
    </xf>
    <xf numFmtId="164" fontId="10" fillId="18" borderId="11" xfId="0" applyNumberFormat="1" applyFont="1" applyFill="1" applyBorder="1" applyAlignment="1" applyProtection="1">
      <alignment horizontal="center" vertical="center" shrinkToFit="1"/>
      <protection hidden="1"/>
    </xf>
    <xf numFmtId="164" fontId="10" fillId="18" borderId="8" xfId="0" applyNumberFormat="1" applyFont="1" applyFill="1" applyBorder="1" applyAlignment="1" applyProtection="1">
      <alignment horizontal="center" vertical="center" shrinkToFit="1"/>
      <protection hidden="1"/>
    </xf>
    <xf numFmtId="165" fontId="1" fillId="0" borderId="0" xfId="0" applyNumberFormat="1" applyFont="1" applyAlignment="1" applyProtection="1">
      <alignment shrinkToFit="1"/>
      <protection hidden="1"/>
    </xf>
    <xf numFmtId="165" fontId="1" fillId="18" borderId="10" xfId="0" applyNumberFormat="1" applyFont="1" applyFill="1" applyBorder="1" applyAlignment="1" applyProtection="1">
      <alignment shrinkToFit="1"/>
      <protection hidden="1"/>
    </xf>
    <xf numFmtId="0" fontId="1" fillId="18" borderId="5" xfId="0" applyFont="1" applyFill="1" applyBorder="1" applyAlignment="1" applyProtection="1">
      <alignment horizontal="center" shrinkToFit="1"/>
      <protection hidden="1"/>
    </xf>
    <xf numFmtId="0" fontId="1" fillId="18" borderId="0" xfId="0" applyFont="1" applyFill="1" applyAlignment="1" applyProtection="1">
      <alignment horizontal="center" shrinkToFit="1"/>
      <protection hidden="1"/>
    </xf>
    <xf numFmtId="164" fontId="1" fillId="0" borderId="0" xfId="0" applyNumberFormat="1" applyFont="1" applyAlignment="1" applyProtection="1">
      <alignment horizontal="right" vertical="center" shrinkToFit="1"/>
      <protection hidden="1"/>
    </xf>
    <xf numFmtId="164" fontId="42" fillId="0" borderId="8" xfId="0" applyNumberFormat="1" applyFont="1" applyBorder="1" applyAlignment="1" applyProtection="1">
      <alignment horizontal="center" vertical="center" shrinkToFit="1"/>
      <protection hidden="1"/>
    </xf>
    <xf numFmtId="164" fontId="1" fillId="0" borderId="8" xfId="0" applyNumberFormat="1" applyFont="1" applyBorder="1" applyAlignment="1" applyProtection="1">
      <alignment horizontal="center" vertical="center" shrinkToFit="1"/>
      <protection hidden="1"/>
    </xf>
    <xf numFmtId="164" fontId="1" fillId="0" borderId="61" xfId="0" applyNumberFormat="1" applyFont="1" applyBorder="1" applyAlignment="1" applyProtection="1">
      <alignment horizontal="center" vertical="center" shrinkToFit="1"/>
      <protection hidden="1"/>
    </xf>
    <xf numFmtId="164" fontId="1" fillId="0" borderId="8" xfId="0" applyNumberFormat="1" applyFont="1" applyBorder="1" applyAlignment="1" applyProtection="1">
      <alignment shrinkToFit="1"/>
      <protection hidden="1"/>
    </xf>
    <xf numFmtId="164" fontId="1" fillId="0" borderId="5" xfId="0" applyNumberFormat="1" applyFont="1" applyBorder="1" applyAlignment="1" applyProtection="1">
      <alignment horizontal="right" vertical="center" shrinkToFit="1"/>
      <protection hidden="1"/>
    </xf>
    <xf numFmtId="164" fontId="1" fillId="0" borderId="11" xfId="0" applyNumberFormat="1" applyFont="1" applyBorder="1" applyAlignment="1" applyProtection="1">
      <alignment horizontal="center" vertical="center" shrinkToFit="1"/>
      <protection hidden="1"/>
    </xf>
    <xf numFmtId="164" fontId="1" fillId="0" borderId="12" xfId="0" applyNumberFormat="1" applyFont="1" applyBorder="1" applyAlignment="1" applyProtection="1">
      <alignment horizontal="center" vertical="center" shrinkToFit="1"/>
      <protection hidden="1"/>
    </xf>
    <xf numFmtId="164" fontId="1" fillId="0" borderId="0" xfId="0" applyNumberFormat="1" applyFont="1" applyAlignment="1" applyProtection="1">
      <alignment vertical="center" shrinkToFit="1"/>
      <protection hidden="1"/>
    </xf>
    <xf numFmtId="165" fontId="1" fillId="0" borderId="0" xfId="0" applyNumberFormat="1" applyFont="1" applyAlignment="1" applyProtection="1">
      <alignment horizontal="right" vertical="center" shrinkToFit="1"/>
      <protection hidden="1"/>
    </xf>
    <xf numFmtId="164" fontId="5" fillId="0" borderId="0" xfId="0" applyNumberFormat="1" applyFont="1" applyAlignment="1" applyProtection="1">
      <alignment horizontal="right" vertical="center" shrinkToFit="1"/>
      <protection hidden="1"/>
    </xf>
    <xf numFmtId="164" fontId="4" fillId="0" borderId="8" xfId="0" applyNumberFormat="1" applyFont="1" applyBorder="1" applyAlignment="1" applyProtection="1">
      <alignment shrinkToFit="1"/>
      <protection hidden="1"/>
    </xf>
    <xf numFmtId="164" fontId="1" fillId="18" borderId="12" xfId="0" applyNumberFormat="1" applyFont="1" applyFill="1" applyBorder="1" applyAlignment="1" applyProtection="1">
      <alignment horizontal="center" vertical="center" shrinkToFit="1"/>
      <protection hidden="1"/>
    </xf>
    <xf numFmtId="164" fontId="1" fillId="18" borderId="11" xfId="0" applyNumberFormat="1" applyFont="1" applyFill="1" applyBorder="1" applyAlignment="1" applyProtection="1">
      <alignment horizontal="center" vertical="center" shrinkToFit="1"/>
      <protection hidden="1"/>
    </xf>
    <xf numFmtId="164" fontId="6" fillId="6" borderId="4" xfId="0" applyNumberFormat="1" applyFont="1" applyFill="1" applyBorder="1" applyAlignment="1" applyProtection="1">
      <alignment vertical="center" shrinkToFit="1"/>
      <protection hidden="1"/>
    </xf>
    <xf numFmtId="165" fontId="1" fillId="0" borderId="0" xfId="0" applyNumberFormat="1" applyFont="1" applyAlignment="1">
      <alignment shrinkToFit="1"/>
    </xf>
    <xf numFmtId="164" fontId="1" fillId="0" borderId="0" xfId="0" applyNumberFormat="1" applyFont="1" applyAlignment="1">
      <alignment shrinkToFit="1"/>
    </xf>
    <xf numFmtId="0" fontId="1" fillId="0" borderId="0" xfId="0" applyFont="1" applyAlignment="1">
      <alignment shrinkToFit="1"/>
    </xf>
    <xf numFmtId="165" fontId="1" fillId="0" borderId="29" xfId="0" applyNumberFormat="1" applyFont="1" applyBorder="1" applyAlignment="1">
      <alignment shrinkToFit="1"/>
    </xf>
    <xf numFmtId="164" fontId="1" fillId="0" borderId="8" xfId="0" quotePrefix="1" applyNumberFormat="1" applyFont="1" applyBorder="1" applyAlignment="1">
      <alignment horizontal="center" shrinkToFit="1"/>
    </xf>
    <xf numFmtId="164" fontId="1" fillId="0" borderId="11" xfId="0" quotePrefix="1" applyNumberFormat="1" applyFont="1" applyBorder="1" applyAlignment="1">
      <alignment horizontal="center" shrinkToFit="1"/>
    </xf>
    <xf numFmtId="164" fontId="1" fillId="0" borderId="8" xfId="0" applyNumberFormat="1" applyFont="1" applyBorder="1" applyAlignment="1">
      <alignment horizontal="center" shrinkToFit="1"/>
    </xf>
    <xf numFmtId="164" fontId="6" fillId="20" borderId="4" xfId="0" quotePrefix="1" applyNumberFormat="1" applyFont="1" applyFill="1" applyBorder="1" applyAlignment="1">
      <alignment vertical="center" shrinkToFit="1"/>
    </xf>
    <xf numFmtId="0" fontId="1" fillId="0" borderId="0" xfId="0" applyFont="1" applyAlignment="1">
      <alignment horizontal="center" shrinkToFit="1"/>
    </xf>
    <xf numFmtId="165" fontId="1" fillId="0" borderId="5" xfId="0" applyNumberFormat="1" applyFont="1" applyBorder="1" applyAlignment="1">
      <alignment shrinkToFit="1"/>
    </xf>
    <xf numFmtId="165" fontId="1" fillId="0" borderId="10" xfId="0" applyNumberFormat="1" applyFont="1" applyBorder="1" applyAlignment="1">
      <alignment shrinkToFit="1"/>
    </xf>
    <xf numFmtId="0" fontId="5" fillId="0" borderId="5" xfId="0" applyFont="1" applyBorder="1" applyAlignment="1">
      <alignment shrinkToFit="1"/>
    </xf>
    <xf numFmtId="165" fontId="1" fillId="18" borderId="29" xfId="0" applyNumberFormat="1" applyFont="1" applyFill="1" applyBorder="1" applyAlignment="1">
      <alignment shrinkToFit="1"/>
    </xf>
    <xf numFmtId="167" fontId="1" fillId="0" borderId="0" xfId="0" applyNumberFormat="1" applyFont="1" applyAlignment="1">
      <alignment shrinkToFit="1"/>
    </xf>
    <xf numFmtId="0" fontId="5" fillId="0" borderId="0" xfId="0" applyFont="1" applyAlignment="1">
      <alignment horizontal="center" shrinkToFit="1"/>
    </xf>
    <xf numFmtId="165" fontId="1" fillId="0" borderId="0" xfId="0" quotePrefix="1" applyNumberFormat="1" applyFont="1" applyAlignment="1">
      <alignment shrinkToFit="1"/>
    </xf>
    <xf numFmtId="165" fontId="1" fillId="18" borderId="29" xfId="0" quotePrefix="1" applyNumberFormat="1" applyFont="1" applyFill="1" applyBorder="1" applyAlignment="1">
      <alignment shrinkToFit="1"/>
    </xf>
    <xf numFmtId="165" fontId="1" fillId="18" borderId="0" xfId="0" quotePrefix="1" applyNumberFormat="1" applyFont="1" applyFill="1" applyAlignment="1">
      <alignment shrinkToFit="1"/>
    </xf>
    <xf numFmtId="165" fontId="1" fillId="18" borderId="10" xfId="0" quotePrefix="1" applyNumberFormat="1" applyFont="1" applyFill="1" applyBorder="1" applyAlignment="1">
      <alignment shrinkToFit="1"/>
    </xf>
    <xf numFmtId="0" fontId="1" fillId="0" borderId="10" xfId="0" applyFont="1" applyBorder="1" applyAlignment="1">
      <alignment shrinkToFit="1"/>
    </xf>
    <xf numFmtId="164" fontId="1" fillId="0" borderId="12" xfId="0" quotePrefix="1" applyNumberFormat="1" applyFont="1" applyBorder="1" applyAlignment="1">
      <alignment horizontal="center" shrinkToFit="1"/>
    </xf>
    <xf numFmtId="164" fontId="1" fillId="0" borderId="61" xfId="0" quotePrefix="1" applyNumberFormat="1" applyFont="1" applyBorder="1" applyAlignment="1">
      <alignment horizontal="center" shrinkToFit="1"/>
    </xf>
    <xf numFmtId="0" fontId="5" fillId="0" borderId="11" xfId="0" applyFont="1" applyBorder="1" applyAlignment="1">
      <alignment shrinkToFit="1"/>
    </xf>
    <xf numFmtId="0" fontId="5" fillId="0" borderId="8" xfId="0" applyFont="1" applyBorder="1" applyAlignment="1">
      <alignment horizontal="center" shrinkToFit="1"/>
    </xf>
    <xf numFmtId="164" fontId="5" fillId="0" borderId="11" xfId="0" applyNumberFormat="1" applyFont="1" applyBorder="1" applyAlignment="1">
      <alignment horizontal="center" shrinkToFit="1"/>
    </xf>
    <xf numFmtId="164" fontId="5" fillId="0" borderId="8" xfId="0" applyNumberFormat="1" applyFont="1" applyBorder="1" applyAlignment="1">
      <alignment horizontal="center" shrinkToFit="1"/>
    </xf>
    <xf numFmtId="164" fontId="1" fillId="0" borderId="12" xfId="0" applyNumberFormat="1" applyFont="1" applyBorder="1" applyAlignment="1">
      <alignment horizontal="center" shrinkToFit="1"/>
    </xf>
    <xf numFmtId="164" fontId="6" fillId="20" borderId="4" xfId="0" quotePrefix="1" applyNumberFormat="1" applyFont="1" applyFill="1" applyBorder="1" applyAlignment="1">
      <alignment horizontal="right" shrinkToFit="1"/>
    </xf>
    <xf numFmtId="164" fontId="1" fillId="20" borderId="4" xfId="0" applyNumberFormat="1" applyFont="1" applyFill="1" applyBorder="1" applyAlignment="1">
      <alignment horizontal="right" shrinkToFit="1"/>
    </xf>
    <xf numFmtId="0" fontId="1" fillId="0" borderId="0" xfId="0" applyFont="1" applyAlignment="1" applyProtection="1">
      <alignment vertical="top" shrinkToFit="1"/>
      <protection hidden="1"/>
    </xf>
    <xf numFmtId="164" fontId="1" fillId="0" borderId="0" xfId="0" applyNumberFormat="1" applyFont="1" applyAlignment="1" applyProtection="1">
      <alignment vertical="top" shrinkToFit="1"/>
      <protection hidden="1"/>
    </xf>
    <xf numFmtId="165" fontId="1" fillId="0" borderId="5" xfId="0" applyNumberFormat="1" applyFont="1" applyBorder="1" applyAlignment="1" applyProtection="1">
      <alignment vertical="center" shrinkToFit="1"/>
      <protection hidden="1"/>
    </xf>
    <xf numFmtId="165" fontId="1" fillId="0" borderId="0" xfId="0" applyNumberFormat="1" applyFont="1" applyAlignment="1" applyProtection="1">
      <alignment vertical="center" shrinkToFit="1"/>
      <protection hidden="1"/>
    </xf>
    <xf numFmtId="164" fontId="28" fillId="0" borderId="8" xfId="0" applyNumberFormat="1" applyFont="1" applyBorder="1" applyAlignment="1" applyProtection="1">
      <alignment horizontal="center" vertical="center" shrinkToFit="1"/>
      <protection hidden="1"/>
    </xf>
    <xf numFmtId="164" fontId="1" fillId="0" borderId="8" xfId="0" applyNumberFormat="1" applyFont="1" applyBorder="1" applyAlignment="1" applyProtection="1">
      <alignment horizontal="center" shrinkToFit="1"/>
      <protection hidden="1"/>
    </xf>
    <xf numFmtId="164" fontId="1" fillId="0" borderId="8" xfId="0" applyNumberFormat="1" applyFont="1" applyBorder="1" applyAlignment="1" applyProtection="1">
      <alignment vertical="top" shrinkToFit="1"/>
      <protection hidden="1"/>
    </xf>
    <xf numFmtId="164" fontId="1" fillId="0" borderId="74" xfId="0" applyNumberFormat="1" applyFont="1" applyBorder="1" applyAlignment="1" applyProtection="1">
      <alignment horizontal="center" shrinkToFit="1"/>
      <protection hidden="1"/>
    </xf>
    <xf numFmtId="165" fontId="1" fillId="0" borderId="0" xfId="0" applyNumberFormat="1" applyFont="1" applyAlignment="1" applyProtection="1">
      <alignment vertical="top" shrinkToFit="1"/>
      <protection hidden="1"/>
    </xf>
    <xf numFmtId="165" fontId="1" fillId="0" borderId="5" xfId="0" applyNumberFormat="1" applyFont="1" applyBorder="1" applyAlignment="1" applyProtection="1">
      <alignment horizontal="right" vertical="center" shrinkToFit="1"/>
      <protection hidden="1"/>
    </xf>
    <xf numFmtId="165" fontId="5" fillId="0" borderId="0" xfId="0" applyNumberFormat="1" applyFont="1" applyAlignment="1" applyProtection="1">
      <alignment horizontal="center" vertical="center" shrinkToFit="1"/>
      <protection hidden="1"/>
    </xf>
    <xf numFmtId="164" fontId="1" fillId="0" borderId="11" xfId="0" applyNumberFormat="1" applyFont="1" applyBorder="1" applyAlignment="1" applyProtection="1">
      <alignment horizontal="center" shrinkToFit="1"/>
      <protection hidden="1"/>
    </xf>
    <xf numFmtId="164" fontId="6" fillId="20" borderId="4" xfId="0" applyNumberFormat="1" applyFont="1" applyFill="1" applyBorder="1" applyAlignment="1" applyProtection="1">
      <alignment horizontal="right" shrinkToFit="1"/>
      <protection hidden="1"/>
    </xf>
    <xf numFmtId="164" fontId="13" fillId="0" borderId="8" xfId="0" applyNumberFormat="1" applyFont="1" applyBorder="1" applyAlignment="1" applyProtection="1">
      <alignment horizontal="center" shrinkToFit="1"/>
      <protection hidden="1"/>
    </xf>
    <xf numFmtId="0" fontId="5" fillId="16" borderId="4" xfId="0" applyFont="1" applyFill="1" applyBorder="1" applyAlignment="1">
      <alignment horizontal="centerContinuous" vertical="center" shrinkToFit="1"/>
    </xf>
    <xf numFmtId="0" fontId="45" fillId="0" borderId="7" xfId="0" applyFont="1" applyBorder="1" applyAlignment="1">
      <alignment horizontal="right" vertical="center"/>
    </xf>
    <xf numFmtId="0" fontId="42" fillId="0" borderId="0" xfId="0" applyFont="1" applyAlignment="1">
      <alignment horizontal="right"/>
    </xf>
    <xf numFmtId="0" fontId="42" fillId="0" borderId="0" xfId="0" applyFont="1"/>
    <xf numFmtId="0" fontId="42" fillId="0" borderId="0" xfId="0" applyFont="1" applyAlignment="1">
      <alignment horizontal="center"/>
    </xf>
    <xf numFmtId="164" fontId="1" fillId="0" borderId="11" xfId="0" applyNumberFormat="1" applyFont="1" applyBorder="1" applyAlignment="1">
      <alignment horizontal="center"/>
    </xf>
    <xf numFmtId="0" fontId="44" fillId="16" borderId="3" xfId="0" applyFont="1" applyFill="1" applyBorder="1" applyAlignment="1">
      <alignment horizontal="centerContinuous" shrinkToFit="1"/>
    </xf>
    <xf numFmtId="0" fontId="44" fillId="16" borderId="4" xfId="0" applyFont="1" applyFill="1" applyBorder="1" applyAlignment="1">
      <alignment horizontal="centerContinuous" shrinkToFit="1"/>
    </xf>
    <xf numFmtId="0" fontId="5" fillId="20" borderId="3" xfId="0" applyFont="1" applyFill="1" applyBorder="1" applyAlignment="1">
      <alignment horizontal="centerContinuous" shrinkToFit="1"/>
    </xf>
    <xf numFmtId="0" fontId="5" fillId="20" borderId="4" xfId="0" applyFont="1" applyFill="1" applyBorder="1" applyAlignment="1">
      <alignment horizontal="centerContinuous" shrinkToFit="1"/>
    </xf>
    <xf numFmtId="0" fontId="1" fillId="20" borderId="3" xfId="0" applyFont="1" applyFill="1" applyBorder="1" applyAlignment="1">
      <alignment horizontal="centerContinuous" vertical="center" shrinkToFit="1"/>
    </xf>
    <xf numFmtId="0" fontId="1" fillId="20" borderId="4" xfId="0" applyFont="1" applyFill="1" applyBorder="1" applyAlignment="1">
      <alignment horizontal="centerContinuous" vertical="center" shrinkToFit="1"/>
    </xf>
    <xf numFmtId="0" fontId="6" fillId="20" borderId="4" xfId="0" applyFont="1" applyFill="1" applyBorder="1" applyAlignment="1" applyProtection="1">
      <alignment horizontal="centerContinuous" shrinkToFit="1"/>
      <protection hidden="1"/>
    </xf>
    <xf numFmtId="0" fontId="6" fillId="20" borderId="4" xfId="0" applyFont="1" applyFill="1" applyBorder="1" applyAlignment="1" applyProtection="1">
      <alignment horizontal="centerContinuous" vertical="center" shrinkToFit="1"/>
      <protection hidden="1"/>
    </xf>
    <xf numFmtId="0" fontId="1" fillId="20" borderId="3" xfId="0" applyFont="1" applyFill="1" applyBorder="1" applyAlignment="1" applyProtection="1">
      <alignment horizontal="centerContinuous" vertical="center" shrinkToFit="1"/>
      <protection hidden="1"/>
    </xf>
    <xf numFmtId="0" fontId="1" fillId="20" borderId="4" xfId="0" applyFont="1" applyFill="1" applyBorder="1" applyAlignment="1" applyProtection="1">
      <alignment horizontal="centerContinuous" vertical="center" shrinkToFit="1"/>
      <protection hidden="1"/>
    </xf>
    <xf numFmtId="0" fontId="1" fillId="20" borderId="3" xfId="0" applyFont="1" applyFill="1" applyBorder="1" applyAlignment="1" applyProtection="1">
      <alignment horizontal="centerContinuous" shrinkToFit="1"/>
      <protection hidden="1"/>
    </xf>
    <xf numFmtId="0" fontId="1" fillId="20" borderId="4" xfId="0" applyFont="1" applyFill="1" applyBorder="1" applyAlignment="1" applyProtection="1">
      <alignment horizontal="centerContinuous" shrinkToFit="1"/>
      <protection hidden="1"/>
    </xf>
    <xf numFmtId="0" fontId="4" fillId="18" borderId="5" xfId="0" applyFont="1" applyFill="1" applyBorder="1" applyAlignment="1" applyProtection="1">
      <alignment vertical="distributed" wrapText="1"/>
      <protection hidden="1"/>
    </xf>
    <xf numFmtId="0" fontId="10" fillId="16" borderId="3" xfId="0" applyFont="1" applyFill="1" applyBorder="1" applyAlignment="1" applyProtection="1">
      <alignment horizontal="centerContinuous"/>
      <protection hidden="1"/>
    </xf>
    <xf numFmtId="0" fontId="10" fillId="16" borderId="4" xfId="0" applyFont="1" applyFill="1" applyBorder="1" applyAlignment="1" applyProtection="1">
      <alignment horizontal="centerContinuous" shrinkToFit="1"/>
      <protection hidden="1"/>
    </xf>
    <xf numFmtId="0" fontId="27" fillId="16" borderId="2" xfId="0" applyFont="1" applyFill="1" applyBorder="1" applyAlignment="1" applyProtection="1">
      <alignment horizontal="centerContinuous" vertical="center"/>
      <protection hidden="1"/>
    </xf>
    <xf numFmtId="0" fontId="1" fillId="24" borderId="7" xfId="0" applyFont="1" applyFill="1" applyBorder="1"/>
    <xf numFmtId="0" fontId="1" fillId="18" borderId="0" xfId="0" quotePrefix="1" applyFont="1" applyFill="1" applyAlignment="1">
      <alignment horizontal="left" vertical="center" shrinkToFit="1"/>
    </xf>
    <xf numFmtId="165" fontId="1" fillId="6" borderId="20" xfId="0" applyNumberFormat="1" applyFont="1" applyFill="1" applyBorder="1" applyAlignment="1" applyProtection="1">
      <alignment horizontal="right" shrinkToFit="1"/>
      <protection locked="0" hidden="1"/>
    </xf>
    <xf numFmtId="0" fontId="1" fillId="6" borderId="13" xfId="0" applyFont="1" applyFill="1" applyBorder="1" applyAlignment="1" applyProtection="1">
      <alignment horizontal="center" shrinkToFit="1"/>
      <protection locked="0"/>
    </xf>
    <xf numFmtId="0" fontId="1" fillId="6" borderId="14" xfId="0" applyFont="1" applyFill="1" applyBorder="1" applyAlignment="1" applyProtection="1">
      <alignment horizontal="center" shrinkToFit="1"/>
      <protection locked="0"/>
    </xf>
    <xf numFmtId="0" fontId="1" fillId="6" borderId="42" xfId="0" applyFont="1" applyFill="1" applyBorder="1" applyAlignment="1" applyProtection="1">
      <alignment horizontal="center" shrinkToFit="1"/>
      <protection locked="0"/>
    </xf>
    <xf numFmtId="0" fontId="1" fillId="6" borderId="13" xfId="0" applyFont="1" applyFill="1" applyBorder="1" applyAlignment="1" applyProtection="1">
      <alignment horizontal="centerContinuous" shrinkToFit="1"/>
      <protection locked="0"/>
    </xf>
    <xf numFmtId="0" fontId="1" fillId="6" borderId="14" xfId="0" applyFont="1" applyFill="1" applyBorder="1" applyAlignment="1" applyProtection="1">
      <alignment horizontal="centerContinuous" shrinkToFit="1"/>
      <protection locked="0"/>
    </xf>
    <xf numFmtId="0" fontId="1" fillId="6" borderId="42" xfId="0" applyFont="1" applyFill="1" applyBorder="1" applyAlignment="1" applyProtection="1">
      <alignment horizontal="centerContinuous" shrinkToFit="1"/>
      <protection locked="0"/>
    </xf>
    <xf numFmtId="165" fontId="1" fillId="0" borderId="20" xfId="0" applyNumberFormat="1" applyFont="1" applyBorder="1" applyAlignment="1">
      <alignment shrinkToFit="1"/>
    </xf>
    <xf numFmtId="0" fontId="1" fillId="18" borderId="29" xfId="0" applyFont="1" applyFill="1" applyBorder="1" applyAlignment="1">
      <alignment horizontal="left" vertical="center"/>
    </xf>
    <xf numFmtId="0" fontId="1" fillId="6" borderId="27" xfId="0" quotePrefix="1" applyFont="1" applyFill="1" applyBorder="1" applyAlignment="1" applyProtection="1">
      <alignment horizontal="center"/>
      <protection locked="0"/>
    </xf>
    <xf numFmtId="165" fontId="1" fillId="18" borderId="5" xfId="0" applyNumberFormat="1" applyFont="1" applyFill="1" applyBorder="1" applyAlignment="1" applyProtection="1">
      <alignment horizontal="right" shrinkToFit="1"/>
      <protection hidden="1"/>
    </xf>
    <xf numFmtId="0" fontId="1" fillId="6" borderId="30" xfId="0" quotePrefix="1" applyFont="1" applyFill="1" applyBorder="1" applyAlignment="1" applyProtection="1">
      <alignment horizontal="center"/>
      <protection locked="0"/>
    </xf>
    <xf numFmtId="0" fontId="1" fillId="0" borderId="0" xfId="0" quotePrefix="1" applyFont="1" applyAlignment="1">
      <alignment horizontal="left" vertical="center"/>
    </xf>
    <xf numFmtId="165" fontId="1" fillId="0" borderId="20" xfId="0" quotePrefix="1" applyNumberFormat="1" applyFont="1" applyBorder="1" applyAlignment="1">
      <alignment horizontal="center" shrinkToFit="1"/>
    </xf>
    <xf numFmtId="0" fontId="1" fillId="0" borderId="29" xfId="0" applyFont="1" applyBorder="1"/>
    <xf numFmtId="0" fontId="0" fillId="6" borderId="20" xfId="0" applyFill="1" applyBorder="1" applyAlignment="1" applyProtection="1">
      <alignment horizontal="center"/>
      <protection locked="0"/>
    </xf>
    <xf numFmtId="0" fontId="5" fillId="18" borderId="0" xfId="0" applyFont="1" applyFill="1" applyAlignment="1" applyProtection="1">
      <alignment horizontal="center"/>
      <protection hidden="1"/>
    </xf>
    <xf numFmtId="167" fontId="17" fillId="18" borderId="5" xfId="0" applyNumberFormat="1" applyFont="1" applyFill="1" applyBorder="1" applyProtection="1">
      <protection hidden="1"/>
    </xf>
    <xf numFmtId="0" fontId="1" fillId="0" borderId="0" xfId="0" applyFont="1" applyAlignment="1" applyProtection="1">
      <alignment horizontal="center" shrinkToFit="1"/>
      <protection hidden="1"/>
    </xf>
    <xf numFmtId="0" fontId="1" fillId="0" borderId="29" xfId="0" applyFont="1" applyBorder="1" applyAlignment="1" applyProtection="1">
      <alignment horizontal="center" shrinkToFit="1"/>
      <protection hidden="1"/>
    </xf>
    <xf numFmtId="0" fontId="1" fillId="6" borderId="20" xfId="0" applyFont="1" applyFill="1" applyBorder="1" applyAlignment="1" applyProtection="1">
      <alignment horizontal="center" vertical="center"/>
      <protection locked="0" hidden="1"/>
    </xf>
    <xf numFmtId="0" fontId="1" fillId="6" borderId="20" xfId="0" quotePrefix="1" applyFont="1" applyFill="1" applyBorder="1" applyAlignment="1" applyProtection="1">
      <alignment horizontal="center" vertical="center"/>
      <protection locked="0" hidden="1"/>
    </xf>
    <xf numFmtId="0" fontId="1" fillId="6" borderId="27" xfId="0" quotePrefix="1" applyFont="1" applyFill="1" applyBorder="1" applyAlignment="1" applyProtection="1">
      <alignment horizontal="center" vertical="center"/>
      <protection locked="0" hidden="1"/>
    </xf>
    <xf numFmtId="0" fontId="1" fillId="6" borderId="13" xfId="0" applyFont="1" applyFill="1" applyBorder="1" applyAlignment="1" applyProtection="1">
      <alignment horizontal="centerContinuous" shrinkToFit="1"/>
      <protection locked="0" hidden="1"/>
    </xf>
    <xf numFmtId="0" fontId="1" fillId="6" borderId="14" xfId="0" applyFont="1" applyFill="1" applyBorder="1" applyAlignment="1" applyProtection="1">
      <alignment horizontal="centerContinuous" shrinkToFit="1"/>
      <protection locked="0" hidden="1"/>
    </xf>
    <xf numFmtId="0" fontId="1" fillId="6" borderId="42" xfId="0" applyFont="1" applyFill="1" applyBorder="1" applyAlignment="1" applyProtection="1">
      <alignment horizontal="centerContinuous" shrinkToFit="1"/>
      <protection locked="0" hidden="1"/>
    </xf>
    <xf numFmtId="164" fontId="1" fillId="6" borderId="27" xfId="0" applyNumberFormat="1" applyFont="1" applyFill="1" applyBorder="1" applyAlignment="1" applyProtection="1">
      <alignment shrinkToFit="1"/>
      <protection locked="0" hidden="1"/>
    </xf>
    <xf numFmtId="9" fontId="1" fillId="6" borderId="20" xfId="0" applyNumberFormat="1" applyFont="1" applyFill="1" applyBorder="1" applyAlignment="1" applyProtection="1">
      <alignment horizontal="center" vertical="center"/>
      <protection locked="0" hidden="1"/>
    </xf>
    <xf numFmtId="9" fontId="1" fillId="6" borderId="27" xfId="0" applyNumberFormat="1" applyFont="1" applyFill="1" applyBorder="1" applyAlignment="1" applyProtection="1">
      <alignment horizontal="center" vertical="center"/>
      <protection locked="0" hidden="1"/>
    </xf>
    <xf numFmtId="0" fontId="1" fillId="6" borderId="20" xfId="0" applyFont="1" applyFill="1" applyBorder="1" applyAlignment="1" applyProtection="1">
      <alignment horizontal="center"/>
      <protection locked="0" hidden="1"/>
    </xf>
    <xf numFmtId="0" fontId="4" fillId="6" borderId="13" xfId="0" applyFont="1" applyFill="1" applyBorder="1" applyAlignment="1" applyProtection="1">
      <alignment horizontal="centerContinuous" vertical="center"/>
      <protection locked="0" hidden="1"/>
    </xf>
    <xf numFmtId="0" fontId="4" fillId="6" borderId="42" xfId="0" applyFont="1" applyFill="1" applyBorder="1" applyAlignment="1" applyProtection="1">
      <alignment horizontal="centerContinuous" vertical="center"/>
      <protection locked="0" hidden="1"/>
    </xf>
    <xf numFmtId="164" fontId="1" fillId="6" borderId="20" xfId="0" applyNumberFormat="1" applyFont="1" applyFill="1" applyBorder="1" applyAlignment="1" applyProtection="1">
      <alignment vertical="center" shrinkToFit="1"/>
      <protection locked="0" hidden="1"/>
    </xf>
    <xf numFmtId="0" fontId="1" fillId="18" borderId="0" xfId="0" quotePrefix="1" applyFont="1" applyFill="1" applyAlignment="1" applyProtection="1">
      <alignment shrinkToFit="1"/>
      <protection hidden="1"/>
    </xf>
    <xf numFmtId="0" fontId="1" fillId="6" borderId="20" xfId="0" applyFont="1" applyFill="1" applyBorder="1" applyAlignment="1" applyProtection="1">
      <alignment horizontal="center" vertical="center" shrinkToFit="1"/>
      <protection locked="0" hidden="1"/>
    </xf>
    <xf numFmtId="0" fontId="1" fillId="6" borderId="20" xfId="0" quotePrefix="1" applyFont="1" applyFill="1" applyBorder="1" applyAlignment="1" applyProtection="1">
      <alignment horizontal="center" vertical="center" shrinkToFit="1"/>
      <protection locked="0" hidden="1"/>
    </xf>
    <xf numFmtId="0" fontId="1" fillId="6" borderId="22" xfId="0" quotePrefix="1" applyFont="1" applyFill="1" applyBorder="1" applyAlignment="1" applyProtection="1">
      <alignment horizontal="center" vertical="center" shrinkToFit="1"/>
      <protection locked="0" hidden="1"/>
    </xf>
    <xf numFmtId="0" fontId="1" fillId="18" borderId="14" xfId="0" quotePrefix="1" applyFont="1" applyFill="1" applyBorder="1" applyAlignment="1" applyProtection="1">
      <alignment horizontal="center" vertical="center" shrinkToFit="1"/>
      <protection hidden="1"/>
    </xf>
    <xf numFmtId="0" fontId="1" fillId="6" borderId="27" xfId="0" quotePrefix="1" applyFont="1" applyFill="1" applyBorder="1" applyAlignment="1" applyProtection="1">
      <alignment horizontal="center" vertical="center" shrinkToFit="1"/>
      <protection locked="0" hidden="1"/>
    </xf>
    <xf numFmtId="0" fontId="1" fillId="6" borderId="21" xfId="0" quotePrefix="1" applyFont="1" applyFill="1" applyBorder="1" applyAlignment="1" applyProtection="1">
      <alignment horizontal="center" vertical="center" shrinkToFit="1"/>
      <protection locked="0" hidden="1"/>
    </xf>
    <xf numFmtId="0" fontId="1" fillId="18" borderId="0" xfId="0" applyFont="1" applyFill="1" applyAlignment="1" applyProtection="1">
      <alignment shrinkToFit="1"/>
      <protection hidden="1"/>
    </xf>
    <xf numFmtId="0" fontId="1" fillId="18" borderId="5" xfId="0" applyFont="1" applyFill="1" applyBorder="1" applyAlignment="1" applyProtection="1">
      <alignment shrinkToFit="1"/>
      <protection hidden="1"/>
    </xf>
    <xf numFmtId="0" fontId="1" fillId="6" borderId="30" xfId="0" applyFont="1" applyFill="1" applyBorder="1" applyAlignment="1" applyProtection="1">
      <alignment horizontal="center" vertical="center" shrinkToFit="1"/>
      <protection locked="0" hidden="1"/>
    </xf>
    <xf numFmtId="0" fontId="1" fillId="0" borderId="0" xfId="0" applyFont="1" applyAlignment="1" applyProtection="1">
      <alignment shrinkToFit="1"/>
      <protection hidden="1"/>
    </xf>
    <xf numFmtId="0" fontId="1" fillId="0" borderId="0" xfId="0" quotePrefix="1" applyFont="1" applyAlignment="1" applyProtection="1">
      <alignment shrinkToFit="1"/>
      <protection hidden="1"/>
    </xf>
    <xf numFmtId="0" fontId="1" fillId="18" borderId="29" xfId="0" quotePrefix="1" applyFont="1" applyFill="1" applyBorder="1" applyAlignment="1" applyProtection="1">
      <alignment shrinkToFit="1"/>
      <protection hidden="1"/>
    </xf>
    <xf numFmtId="0" fontId="1" fillId="18" borderId="10" xfId="0" applyFont="1" applyFill="1" applyBorder="1" applyAlignment="1" applyProtection="1">
      <alignment shrinkToFit="1"/>
      <protection hidden="1"/>
    </xf>
    <xf numFmtId="0" fontId="1" fillId="18" borderId="48" xfId="0" applyFont="1" applyFill="1" applyBorder="1" applyAlignment="1" applyProtection="1">
      <alignment shrinkToFit="1"/>
      <protection hidden="1"/>
    </xf>
    <xf numFmtId="0" fontId="1" fillId="6" borderId="22" xfId="0" applyFont="1" applyFill="1" applyBorder="1" applyAlignment="1" applyProtection="1">
      <alignment horizontal="center" vertical="center" shrinkToFit="1"/>
      <protection locked="0" hidden="1"/>
    </xf>
    <xf numFmtId="0" fontId="1" fillId="18" borderId="5" xfId="0" quotePrefix="1" applyFont="1" applyFill="1" applyBorder="1" applyAlignment="1" applyProtection="1">
      <alignment shrinkToFit="1"/>
      <protection hidden="1"/>
    </xf>
    <xf numFmtId="0" fontId="1" fillId="6" borderId="30" xfId="0" quotePrefix="1" applyFont="1" applyFill="1" applyBorder="1" applyAlignment="1" applyProtection="1">
      <alignment horizontal="center" vertical="center" shrinkToFit="1"/>
      <protection locked="0" hidden="1"/>
    </xf>
    <xf numFmtId="0" fontId="1" fillId="18" borderId="29" xfId="0" applyFont="1" applyFill="1" applyBorder="1" applyAlignment="1" applyProtection="1">
      <alignment shrinkToFit="1"/>
      <protection hidden="1"/>
    </xf>
    <xf numFmtId="0" fontId="1" fillId="16" borderId="20" xfId="0" quotePrefix="1" applyFont="1" applyFill="1" applyBorder="1" applyAlignment="1" applyProtection="1">
      <alignment horizontal="center" vertical="center" shrinkToFit="1"/>
      <protection hidden="1"/>
    </xf>
    <xf numFmtId="167" fontId="17" fillId="18" borderId="10" xfId="0" applyNumberFormat="1" applyFont="1" applyFill="1" applyBorder="1" applyAlignment="1" applyProtection="1">
      <alignment shrinkToFit="1"/>
      <protection hidden="1"/>
    </xf>
    <xf numFmtId="0" fontId="1" fillId="16" borderId="22" xfId="0" quotePrefix="1" applyFont="1" applyFill="1" applyBorder="1" applyAlignment="1" applyProtection="1">
      <alignment horizontal="center" vertical="center" shrinkToFit="1"/>
      <protection hidden="1"/>
    </xf>
    <xf numFmtId="170" fontId="1" fillId="6" borderId="20" xfId="0" applyNumberFormat="1" applyFont="1" applyFill="1" applyBorder="1" applyAlignment="1" applyProtection="1">
      <alignment horizontal="center" vertical="center" shrinkToFit="1"/>
      <protection locked="0" hidden="1"/>
    </xf>
    <xf numFmtId="0" fontId="1" fillId="18" borderId="0" xfId="0" quotePrefix="1" applyFont="1" applyFill="1" applyAlignment="1" applyProtection="1">
      <alignment horizontal="left" shrinkToFit="1"/>
      <protection hidden="1"/>
    </xf>
    <xf numFmtId="0" fontId="5" fillId="18" borderId="7" xfId="0" applyFont="1" applyFill="1" applyBorder="1" applyAlignment="1" applyProtection="1">
      <alignment horizontal="centerContinuous"/>
      <protection hidden="1"/>
    </xf>
    <xf numFmtId="0" fontId="5" fillId="18" borderId="8" xfId="0" applyFont="1" applyFill="1" applyBorder="1" applyAlignment="1" applyProtection="1">
      <alignment horizontal="centerContinuous"/>
      <protection hidden="1"/>
    </xf>
    <xf numFmtId="164" fontId="1" fillId="18" borderId="0" xfId="0" applyNumberFormat="1" applyFont="1" applyFill="1" applyAlignment="1" applyProtection="1">
      <alignment shrinkToFit="1"/>
      <protection hidden="1"/>
    </xf>
    <xf numFmtId="1" fontId="1" fillId="16" borderId="20" xfId="0" applyNumberFormat="1" applyFont="1" applyFill="1" applyBorder="1" applyAlignment="1" applyProtection="1">
      <alignment horizontal="center" vertical="center" shrinkToFit="1"/>
      <protection hidden="1"/>
    </xf>
    <xf numFmtId="0" fontId="1" fillId="18" borderId="29" xfId="0" quotePrefix="1" applyFont="1" applyFill="1" applyBorder="1" applyAlignment="1" applyProtection="1">
      <alignment horizontal="left" shrinkToFit="1"/>
      <protection hidden="1"/>
    </xf>
    <xf numFmtId="0" fontId="1" fillId="18" borderId="10" xfId="0" quotePrefix="1" applyFont="1" applyFill="1" applyBorder="1" applyAlignment="1" applyProtection="1">
      <alignment shrinkToFit="1"/>
      <protection hidden="1"/>
    </xf>
    <xf numFmtId="0" fontId="1" fillId="18" borderId="37" xfId="0" quotePrefix="1" applyFont="1" applyFill="1" applyBorder="1" applyAlignment="1" applyProtection="1">
      <alignment horizontal="center" vertical="center" shrinkToFit="1"/>
      <protection hidden="1"/>
    </xf>
    <xf numFmtId="165" fontId="1" fillId="6" borderId="20" xfId="0" applyNumberFormat="1" applyFont="1" applyFill="1" applyBorder="1" applyAlignment="1" applyProtection="1">
      <alignment shrinkToFit="1"/>
      <protection locked="0"/>
    </xf>
    <xf numFmtId="0" fontId="4" fillId="6" borderId="13" xfId="0" applyFont="1" applyFill="1" applyBorder="1" applyAlignment="1" applyProtection="1">
      <alignment horizontal="center" shrinkToFit="1"/>
      <protection locked="0"/>
    </xf>
    <xf numFmtId="0" fontId="4" fillId="6" borderId="42" xfId="0" applyFont="1" applyFill="1" applyBorder="1" applyAlignment="1" applyProtection="1">
      <alignment horizontal="center" shrinkToFit="1"/>
      <protection locked="0"/>
    </xf>
    <xf numFmtId="0" fontId="1" fillId="0" borderId="37" xfId="0" quotePrefix="1" applyFont="1" applyBorder="1"/>
    <xf numFmtId="164" fontId="1" fillId="0" borderId="27" xfId="0" applyNumberFormat="1" applyFont="1" applyBorder="1" applyAlignment="1" applyProtection="1">
      <alignment horizontal="center" shrinkToFit="1"/>
      <protection hidden="1"/>
    </xf>
    <xf numFmtId="164" fontId="1" fillId="6" borderId="27" xfId="0" applyNumberFormat="1" applyFont="1" applyFill="1" applyBorder="1" applyAlignment="1" applyProtection="1">
      <alignment horizontal="center" shrinkToFit="1"/>
      <protection locked="0" hidden="1"/>
    </xf>
    <xf numFmtId="9" fontId="1" fillId="6" borderId="27" xfId="0" applyNumberFormat="1" applyFont="1" applyFill="1" applyBorder="1" applyAlignment="1" applyProtection="1">
      <alignment horizontal="center"/>
      <protection locked="0" hidden="1"/>
    </xf>
    <xf numFmtId="0" fontId="1" fillId="0" borderId="48" xfId="0" applyFont="1" applyBorder="1" applyProtection="1">
      <protection hidden="1"/>
    </xf>
    <xf numFmtId="164" fontId="1" fillId="0" borderId="22" xfId="0" applyNumberFormat="1" applyFont="1" applyBorder="1" applyAlignment="1" applyProtection="1">
      <alignment horizontal="center" shrinkToFit="1"/>
      <protection hidden="1"/>
    </xf>
    <xf numFmtId="164" fontId="1" fillId="0" borderId="31" xfId="0" applyNumberFormat="1" applyFont="1" applyBorder="1" applyAlignment="1" applyProtection="1">
      <alignment horizontal="center" shrinkToFit="1"/>
      <protection hidden="1"/>
    </xf>
    <xf numFmtId="0" fontId="1" fillId="6" borderId="70" xfId="0" applyFont="1" applyFill="1" applyBorder="1" applyAlignment="1" applyProtection="1">
      <alignment horizontal="centerContinuous"/>
      <protection locked="0" hidden="1"/>
    </xf>
    <xf numFmtId="0" fontId="1" fillId="6" borderId="44" xfId="0" applyFont="1" applyFill="1" applyBorder="1" applyAlignment="1" applyProtection="1">
      <alignment horizontal="centerContinuous"/>
      <protection locked="0" hidden="1"/>
    </xf>
    <xf numFmtId="0" fontId="1" fillId="6" borderId="32" xfId="0" applyFont="1" applyFill="1" applyBorder="1" applyAlignment="1" applyProtection="1">
      <alignment horizontal="centerContinuous"/>
      <protection locked="0" hidden="1"/>
    </xf>
    <xf numFmtId="164" fontId="1" fillId="0" borderId="70" xfId="0" applyNumberFormat="1" applyFont="1" applyBorder="1" applyAlignment="1" applyProtection="1">
      <alignment horizontal="center" shrinkToFit="1"/>
      <protection hidden="1"/>
    </xf>
    <xf numFmtId="164" fontId="1" fillId="6" borderId="30" xfId="0" applyNumberFormat="1" applyFont="1" applyFill="1" applyBorder="1" applyAlignment="1" applyProtection="1">
      <alignment horizontal="center" shrinkToFit="1"/>
      <protection locked="0" hidden="1"/>
    </xf>
    <xf numFmtId="9" fontId="1" fillId="6" borderId="30" xfId="0" applyNumberFormat="1" applyFont="1" applyFill="1" applyBorder="1" applyAlignment="1" applyProtection="1">
      <alignment horizontal="center"/>
      <protection locked="0" hidden="1"/>
    </xf>
    <xf numFmtId="0" fontId="49" fillId="0" borderId="14" xfId="0" applyFont="1" applyBorder="1" applyAlignment="1" applyProtection="1">
      <alignment horizontal="center"/>
      <protection locked="0"/>
    </xf>
    <xf numFmtId="0" fontId="1" fillId="18" borderId="68" xfId="0" applyFont="1" applyFill="1" applyBorder="1" applyAlignment="1">
      <alignment horizontal="left" vertical="center"/>
    </xf>
    <xf numFmtId="0" fontId="1" fillId="18" borderId="48" xfId="0" applyFont="1" applyFill="1" applyBorder="1" applyAlignment="1">
      <alignment horizontal="left" vertical="center"/>
    </xf>
    <xf numFmtId="14" fontId="0" fillId="0" borderId="18" xfId="0" applyNumberFormat="1" applyBorder="1" applyAlignment="1" applyProtection="1">
      <alignment horizontal="center"/>
      <protection hidden="1"/>
    </xf>
    <xf numFmtId="0" fontId="0" fillId="20" borderId="3" xfId="0" applyFill="1" applyBorder="1" applyAlignment="1" applyProtection="1">
      <alignment horizontal="left"/>
      <protection hidden="1"/>
    </xf>
    <xf numFmtId="0" fontId="0" fillId="0" borderId="11" xfId="0" applyBorder="1" applyAlignment="1" applyProtection="1">
      <alignment horizontal="centerContinuous"/>
      <protection hidden="1"/>
    </xf>
    <xf numFmtId="0" fontId="0" fillId="0" borderId="10" xfId="0" applyBorder="1" applyAlignment="1" applyProtection="1">
      <alignment horizontal="centerContinuous"/>
      <protection hidden="1"/>
    </xf>
    <xf numFmtId="0" fontId="1" fillId="0" borderId="9" xfId="0" applyFont="1" applyBorder="1" applyAlignment="1" applyProtection="1">
      <alignment horizontal="centerContinuous"/>
      <protection hidden="1"/>
    </xf>
    <xf numFmtId="0" fontId="0" fillId="0" borderId="12" xfId="0" applyBorder="1" applyAlignment="1" applyProtection="1">
      <alignment horizontal="centerContinuous"/>
      <protection hidden="1"/>
    </xf>
    <xf numFmtId="0" fontId="1" fillId="0" borderId="7" xfId="0" applyFont="1" applyBorder="1" applyAlignment="1" applyProtection="1">
      <alignment horizontal="centerContinuous" vertical="top" wrapText="1"/>
      <protection hidden="1"/>
    </xf>
    <xf numFmtId="0" fontId="0" fillId="0" borderId="0" xfId="0" applyAlignment="1" applyProtection="1">
      <alignment horizontal="centerContinuous" vertical="top" wrapText="1"/>
      <protection hidden="1"/>
    </xf>
    <xf numFmtId="0" fontId="0" fillId="0" borderId="8" xfId="0" applyBorder="1" applyAlignment="1" applyProtection="1">
      <alignment horizontal="centerContinuous" vertical="top" wrapText="1"/>
      <protection hidden="1"/>
    </xf>
    <xf numFmtId="0" fontId="46" fillId="0" borderId="6" xfId="0" applyFont="1" applyBorder="1" applyAlignment="1" applyProtection="1">
      <alignment horizontal="center" shrinkToFit="1"/>
      <protection hidden="1"/>
    </xf>
    <xf numFmtId="0" fontId="46" fillId="0" borderId="7" xfId="0" applyFont="1" applyBorder="1" applyAlignment="1" applyProtection="1">
      <alignment horizontal="center" shrinkToFit="1"/>
      <protection hidden="1"/>
    </xf>
    <xf numFmtId="0" fontId="0" fillId="0" borderId="9" xfId="0" applyBorder="1" applyAlignment="1" applyProtection="1">
      <alignment shrinkToFit="1"/>
      <protection hidden="1"/>
    </xf>
    <xf numFmtId="0" fontId="46" fillId="0" borderId="24" xfId="0" applyFont="1" applyBorder="1" applyAlignment="1" applyProtection="1">
      <alignment horizontal="center" shrinkToFit="1"/>
      <protection hidden="1"/>
    </xf>
    <xf numFmtId="0" fontId="46" fillId="0" borderId="23" xfId="0" applyFont="1" applyBorder="1" applyAlignment="1" applyProtection="1">
      <alignment horizontal="center" shrinkToFit="1"/>
      <protection hidden="1"/>
    </xf>
    <xf numFmtId="0" fontId="0" fillId="0" borderId="15" xfId="0" applyBorder="1" applyAlignment="1" applyProtection="1">
      <alignment horizontal="center" shrinkToFit="1"/>
      <protection hidden="1"/>
    </xf>
    <xf numFmtId="0" fontId="46" fillId="0" borderId="15" xfId="0" applyFont="1" applyBorder="1" applyAlignment="1" applyProtection="1">
      <alignment horizontal="center" shrinkToFit="1"/>
      <protection hidden="1"/>
    </xf>
    <xf numFmtId="0" fontId="5" fillId="0" borderId="6" xfId="0" applyFont="1" applyBorder="1" applyAlignment="1" applyProtection="1">
      <alignment horizontal="centerContinuous" vertical="center" shrinkToFit="1"/>
      <protection hidden="1"/>
    </xf>
    <xf numFmtId="0" fontId="0" fillId="0" borderId="5" xfId="0" applyBorder="1" applyAlignment="1" applyProtection="1">
      <alignment horizontal="centerContinuous" shrinkToFit="1"/>
      <protection hidden="1"/>
    </xf>
    <xf numFmtId="0" fontId="46" fillId="0" borderId="7" xfId="0" applyFont="1" applyBorder="1" applyAlignment="1" applyProtection="1">
      <alignment horizontal="centerContinuous" shrinkToFit="1"/>
      <protection hidden="1"/>
    </xf>
    <xf numFmtId="0" fontId="46" fillId="0" borderId="0" xfId="0" applyFont="1" applyAlignment="1" applyProtection="1">
      <alignment horizontal="centerContinuous" shrinkToFit="1"/>
      <protection hidden="1"/>
    </xf>
    <xf numFmtId="0" fontId="0" fillId="0" borderId="10" xfId="0" applyBorder="1" applyAlignment="1" applyProtection="1">
      <alignment horizontal="centerContinuous" shrinkToFit="1"/>
      <protection hidden="1"/>
    </xf>
    <xf numFmtId="0" fontId="46" fillId="0" borderId="11" xfId="0" applyFont="1" applyBorder="1" applyAlignment="1" applyProtection="1">
      <alignment horizontal="centerContinuous" shrinkToFit="1"/>
      <protection hidden="1"/>
    </xf>
    <xf numFmtId="0" fontId="46" fillId="0" borderId="8" xfId="0" applyFont="1" applyBorder="1" applyAlignment="1" applyProtection="1">
      <alignment horizontal="centerContinuous" shrinkToFit="1"/>
      <protection hidden="1"/>
    </xf>
    <xf numFmtId="0" fontId="1" fillId="0" borderId="12" xfId="0" applyFont="1" applyBorder="1" applyAlignment="1" applyProtection="1">
      <alignment horizontal="center" shrinkToFit="1"/>
      <protection hidden="1"/>
    </xf>
    <xf numFmtId="0" fontId="1" fillId="0" borderId="9" xfId="0" applyFont="1" applyBorder="1" applyAlignment="1" applyProtection="1">
      <alignment horizontal="centerContinuous" shrinkToFit="1"/>
      <protection hidden="1"/>
    </xf>
    <xf numFmtId="0" fontId="0" fillId="19" borderId="7" xfId="0" applyFill="1" applyBorder="1" applyProtection="1">
      <protection hidden="1"/>
    </xf>
    <xf numFmtId="0" fontId="61" fillId="20" borderId="2" xfId="0" applyFont="1" applyFill="1" applyBorder="1" applyAlignment="1" applyProtection="1">
      <alignment horizontal="centerContinuous"/>
      <protection hidden="1"/>
    </xf>
    <xf numFmtId="0" fontId="61" fillId="20" borderId="3" xfId="0" applyFont="1" applyFill="1" applyBorder="1" applyAlignment="1" applyProtection="1">
      <alignment horizontal="centerContinuous"/>
      <protection hidden="1"/>
    </xf>
    <xf numFmtId="0" fontId="61" fillId="20" borderId="4" xfId="0" applyFont="1" applyFill="1" applyBorder="1" applyAlignment="1" applyProtection="1">
      <alignment horizontal="centerContinuous"/>
      <protection hidden="1"/>
    </xf>
    <xf numFmtId="0" fontId="46" fillId="0" borderId="8" xfId="0" applyFont="1" applyBorder="1" applyAlignment="1" applyProtection="1">
      <alignment horizontal="center"/>
      <protection hidden="1"/>
    </xf>
    <xf numFmtId="0" fontId="1" fillId="6" borderId="51" xfId="0" applyFont="1" applyFill="1" applyBorder="1" applyAlignment="1" applyProtection="1">
      <alignment horizontal="center" shrinkToFit="1"/>
      <protection locked="0" hidden="1"/>
    </xf>
    <xf numFmtId="0" fontId="1" fillId="6" borderId="54" xfId="0" applyFont="1" applyFill="1" applyBorder="1" applyAlignment="1" applyProtection="1">
      <alignment horizontal="center" shrinkToFit="1"/>
      <protection locked="0" hidden="1"/>
    </xf>
    <xf numFmtId="0" fontId="0" fillId="6" borderId="54" xfId="0" applyFill="1" applyBorder="1" applyAlignment="1" applyProtection="1">
      <alignment horizontal="center" shrinkToFit="1"/>
      <protection locked="0" hidden="1"/>
    </xf>
    <xf numFmtId="0" fontId="1" fillId="6" borderId="65" xfId="0" applyFont="1" applyFill="1" applyBorder="1" applyAlignment="1" applyProtection="1">
      <alignment horizontal="centerContinuous" shrinkToFit="1"/>
      <protection locked="0" hidden="1"/>
    </xf>
    <xf numFmtId="0" fontId="0" fillId="6" borderId="17" xfId="0" applyFill="1" applyBorder="1" applyAlignment="1" applyProtection="1">
      <alignment horizontal="centerContinuous" shrinkToFit="1"/>
      <protection locked="0" hidden="1"/>
    </xf>
    <xf numFmtId="0" fontId="0" fillId="6" borderId="38" xfId="0" applyFill="1" applyBorder="1" applyAlignment="1" applyProtection="1">
      <alignment horizontal="center" shrinkToFit="1"/>
      <protection locked="0" hidden="1"/>
    </xf>
    <xf numFmtId="0" fontId="0" fillId="6" borderId="17" xfId="0" applyFill="1" applyBorder="1" applyAlignment="1" applyProtection="1">
      <alignment horizontal="center" shrinkToFit="1"/>
      <protection locked="0" hidden="1"/>
    </xf>
    <xf numFmtId="0" fontId="1" fillId="6" borderId="70" xfId="0" applyFont="1" applyFill="1" applyBorder="1" applyAlignment="1" applyProtection="1">
      <alignment horizontal="center" shrinkToFit="1"/>
      <protection locked="0" hidden="1"/>
    </xf>
    <xf numFmtId="0" fontId="1" fillId="6" borderId="64" xfId="0" applyFont="1" applyFill="1" applyBorder="1" applyAlignment="1" applyProtection="1">
      <alignment horizontal="center" shrinkToFit="1"/>
      <protection locked="0" hidden="1"/>
    </xf>
    <xf numFmtId="0" fontId="0" fillId="6" borderId="13" xfId="0" applyFill="1" applyBorder="1" applyAlignment="1" applyProtection="1">
      <alignment horizontal="center" shrinkToFit="1"/>
      <protection locked="0" hidden="1"/>
    </xf>
    <xf numFmtId="0" fontId="0" fillId="6" borderId="55" xfId="0" applyFill="1" applyBorder="1" applyAlignment="1" applyProtection="1">
      <alignment horizontal="center" shrinkToFit="1"/>
      <protection locked="0" hidden="1"/>
    </xf>
    <xf numFmtId="0" fontId="0" fillId="6" borderId="70" xfId="0" applyFill="1" applyBorder="1" applyAlignment="1" applyProtection="1">
      <alignment horizontal="center" shrinkToFit="1"/>
      <protection locked="0" hidden="1"/>
    </xf>
    <xf numFmtId="0" fontId="0" fillId="6" borderId="64" xfId="0" applyFill="1" applyBorder="1" applyAlignment="1" applyProtection="1">
      <alignment horizontal="center" shrinkToFit="1"/>
      <protection locked="0" hidden="1"/>
    </xf>
    <xf numFmtId="0" fontId="0" fillId="6" borderId="52" xfId="0" applyFill="1" applyBorder="1" applyAlignment="1" applyProtection="1">
      <alignment horizontal="center" shrinkToFit="1"/>
      <protection locked="0" hidden="1"/>
    </xf>
    <xf numFmtId="0" fontId="0" fillId="6" borderId="14" xfId="0" applyFill="1" applyBorder="1" applyAlignment="1" applyProtection="1">
      <alignment horizontal="center" shrinkToFit="1"/>
      <protection locked="0" hidden="1"/>
    </xf>
    <xf numFmtId="0" fontId="0" fillId="6" borderId="56" xfId="0" applyFill="1" applyBorder="1" applyAlignment="1" applyProtection="1">
      <alignment shrinkToFit="1"/>
      <protection locked="0" hidden="1"/>
    </xf>
    <xf numFmtId="0" fontId="0" fillId="6" borderId="56" xfId="0" applyFill="1" applyBorder="1" applyAlignment="1" applyProtection="1">
      <alignment horizontal="center" shrinkToFit="1"/>
      <protection locked="0" hidden="1"/>
    </xf>
    <xf numFmtId="0" fontId="49" fillId="0" borderId="67" xfId="0" applyFont="1" applyBorder="1" applyAlignment="1" applyProtection="1">
      <alignment horizontal="center"/>
      <protection hidden="1"/>
    </xf>
    <xf numFmtId="0" fontId="1" fillId="0" borderId="8" xfId="0" applyFont="1" applyBorder="1" applyAlignment="1" applyProtection="1">
      <alignment horizontal="center"/>
      <protection hidden="1"/>
    </xf>
    <xf numFmtId="0" fontId="5" fillId="0" borderId="7" xfId="0" applyFont="1" applyBorder="1" applyAlignment="1" applyProtection="1">
      <alignment horizontal="centerContinuous" vertical="center"/>
      <protection hidden="1"/>
    </xf>
    <xf numFmtId="0" fontId="46" fillId="0" borderId="0" xfId="0" applyFont="1" applyAlignment="1" applyProtection="1">
      <alignment horizontal="centerContinuous"/>
      <protection hidden="1"/>
    </xf>
    <xf numFmtId="0" fontId="46" fillId="0" borderId="7" xfId="0" applyFont="1" applyBorder="1" applyAlignment="1" applyProtection="1">
      <alignment horizontal="centerContinuous"/>
      <protection hidden="1"/>
    </xf>
    <xf numFmtId="0" fontId="0" fillId="0" borderId="11" xfId="0" applyBorder="1" applyProtection="1">
      <protection hidden="1"/>
    </xf>
    <xf numFmtId="0" fontId="46" fillId="0" borderId="8" xfId="0" applyFont="1" applyBorder="1" applyAlignment="1" applyProtection="1">
      <alignment horizontal="centerContinuous"/>
      <protection hidden="1"/>
    </xf>
    <xf numFmtId="0" fontId="1" fillId="0" borderId="12" xfId="0" applyFont="1" applyBorder="1" applyAlignment="1" applyProtection="1">
      <alignment horizontal="center"/>
      <protection hidden="1"/>
    </xf>
    <xf numFmtId="165" fontId="1" fillId="0" borderId="0" xfId="0" applyNumberFormat="1" applyFont="1" applyAlignment="1" applyProtection="1">
      <alignment horizontal="right" shrinkToFit="1"/>
      <protection hidden="1"/>
    </xf>
    <xf numFmtId="0" fontId="1" fillId="0" borderId="9" xfId="0" applyFont="1" applyBorder="1" applyAlignment="1" applyProtection="1">
      <alignment horizontal="center"/>
      <protection hidden="1"/>
    </xf>
    <xf numFmtId="0" fontId="0" fillId="0" borderId="10" xfId="0" applyBorder="1" applyAlignment="1" applyProtection="1">
      <alignment horizontal="center"/>
      <protection hidden="1"/>
    </xf>
    <xf numFmtId="172" fontId="0" fillId="6" borderId="76" xfId="0" applyNumberFormat="1" applyFill="1" applyBorder="1" applyAlignment="1" applyProtection="1">
      <alignment horizontal="center" shrinkToFit="1"/>
      <protection locked="0" hidden="1"/>
    </xf>
    <xf numFmtId="172" fontId="0" fillId="6" borderId="55" xfId="0" applyNumberFormat="1" applyFill="1" applyBorder="1" applyAlignment="1" applyProtection="1">
      <alignment horizontal="center" shrinkToFit="1"/>
      <protection locked="0" hidden="1"/>
    </xf>
    <xf numFmtId="172" fontId="1" fillId="6" borderId="76" xfId="0" applyNumberFormat="1" applyFont="1" applyFill="1" applyBorder="1" applyAlignment="1" applyProtection="1">
      <alignment horizontal="center" shrinkToFit="1"/>
      <protection locked="0" hidden="1"/>
    </xf>
    <xf numFmtId="172" fontId="1" fillId="6" borderId="52" xfId="0" applyNumberFormat="1" applyFont="1" applyFill="1" applyBorder="1" applyAlignment="1" applyProtection="1">
      <alignment horizontal="center" shrinkToFit="1"/>
      <protection locked="0" hidden="1"/>
    </xf>
    <xf numFmtId="172" fontId="0" fillId="6" borderId="52" xfId="0" applyNumberFormat="1" applyFill="1" applyBorder="1" applyAlignment="1" applyProtection="1">
      <alignment horizontal="center" shrinkToFit="1"/>
      <protection locked="0" hidden="1"/>
    </xf>
    <xf numFmtId="172" fontId="0" fillId="6" borderId="53" xfId="0" applyNumberFormat="1" applyFill="1" applyBorder="1" applyAlignment="1" applyProtection="1">
      <alignment horizontal="center" shrinkToFit="1"/>
      <protection locked="0" hidden="1"/>
    </xf>
    <xf numFmtId="172" fontId="0" fillId="6" borderId="50" xfId="0" applyNumberFormat="1" applyFill="1" applyBorder="1" applyAlignment="1" applyProtection="1">
      <alignment horizontal="center" shrinkToFit="1"/>
      <protection locked="0" hidden="1"/>
    </xf>
    <xf numFmtId="172" fontId="1" fillId="6" borderId="50" xfId="0" applyNumberFormat="1" applyFont="1" applyFill="1" applyBorder="1" applyAlignment="1" applyProtection="1">
      <alignment horizontal="center" shrinkToFit="1"/>
      <protection locked="0" hidden="1"/>
    </xf>
    <xf numFmtId="172" fontId="0" fillId="6" borderId="58" xfId="0" applyNumberFormat="1" applyFill="1" applyBorder="1" applyAlignment="1" applyProtection="1">
      <alignment horizontal="center" shrinkToFit="1"/>
      <protection locked="0" hidden="1"/>
    </xf>
    <xf numFmtId="0" fontId="5" fillId="0" borderId="7" xfId="0" applyFont="1" applyBorder="1" applyAlignment="1" applyProtection="1">
      <alignment horizontal="centerContinuous" vertical="center" shrinkToFit="1"/>
      <protection hidden="1"/>
    </xf>
    <xf numFmtId="0" fontId="0" fillId="0" borderId="0" xfId="0" applyAlignment="1" applyProtection="1">
      <alignment horizontal="centerContinuous" shrinkToFit="1"/>
      <protection hidden="1"/>
    </xf>
    <xf numFmtId="0" fontId="0" fillId="6" borderId="51" xfId="0" applyFill="1" applyBorder="1" applyAlignment="1" applyProtection="1">
      <alignment shrinkToFit="1"/>
      <protection locked="0" hidden="1"/>
    </xf>
    <xf numFmtId="0" fontId="0" fillId="6" borderId="52" xfId="0" applyFill="1" applyBorder="1" applyAlignment="1" applyProtection="1">
      <alignment shrinkToFit="1"/>
      <protection locked="0" hidden="1"/>
    </xf>
    <xf numFmtId="0" fontId="0" fillId="6" borderId="59" xfId="0" applyFill="1" applyBorder="1" applyAlignment="1" applyProtection="1">
      <alignment shrinkToFit="1"/>
      <protection locked="0" hidden="1"/>
    </xf>
    <xf numFmtId="0" fontId="0" fillId="6" borderId="54" xfId="0" applyFill="1" applyBorder="1" applyAlignment="1" applyProtection="1">
      <alignment shrinkToFit="1"/>
      <protection locked="0" hidden="1"/>
    </xf>
    <xf numFmtId="0" fontId="0" fillId="6" borderId="55" xfId="0" applyFill="1" applyBorder="1" applyAlignment="1" applyProtection="1">
      <alignment shrinkToFit="1"/>
      <protection locked="0" hidden="1"/>
    </xf>
    <xf numFmtId="0" fontId="1" fillId="6" borderId="54" xfId="0" applyFont="1" applyFill="1" applyBorder="1" applyAlignment="1" applyProtection="1">
      <alignment shrinkToFit="1"/>
      <protection locked="0" hidden="1"/>
    </xf>
    <xf numFmtId="0" fontId="1" fillId="6" borderId="51" xfId="0" applyFont="1" applyFill="1" applyBorder="1" applyAlignment="1" applyProtection="1">
      <alignment shrinkToFit="1"/>
      <protection locked="0" hidden="1"/>
    </xf>
    <xf numFmtId="172" fontId="0" fillId="6" borderId="50" xfId="0" applyNumberFormat="1" applyFill="1" applyBorder="1" applyAlignment="1" applyProtection="1">
      <alignment shrinkToFit="1"/>
      <protection locked="0" hidden="1"/>
    </xf>
    <xf numFmtId="172" fontId="0" fillId="6" borderId="58" xfId="0" applyNumberFormat="1" applyFill="1" applyBorder="1" applyAlignment="1" applyProtection="1">
      <alignment shrinkToFit="1"/>
      <protection locked="0" hidden="1"/>
    </xf>
    <xf numFmtId="172" fontId="0" fillId="6" borderId="53" xfId="0" applyNumberFormat="1" applyFill="1" applyBorder="1" applyAlignment="1" applyProtection="1">
      <alignment shrinkToFit="1"/>
      <protection locked="0" hidden="1"/>
    </xf>
    <xf numFmtId="172" fontId="1" fillId="6" borderId="53" xfId="0" applyNumberFormat="1" applyFont="1" applyFill="1" applyBorder="1" applyAlignment="1" applyProtection="1">
      <alignment shrinkToFit="1"/>
      <protection locked="0" hidden="1"/>
    </xf>
    <xf numFmtId="0" fontId="0" fillId="6" borderId="65" xfId="0" applyFill="1" applyBorder="1" applyAlignment="1" applyProtection="1">
      <alignment shrinkToFit="1"/>
      <protection locked="0" hidden="1"/>
    </xf>
    <xf numFmtId="0" fontId="0" fillId="6" borderId="28" xfId="0" applyFill="1" applyBorder="1" applyAlignment="1" applyProtection="1">
      <alignment shrinkToFit="1"/>
      <protection locked="0" hidden="1"/>
    </xf>
    <xf numFmtId="0" fontId="0" fillId="6" borderId="17" xfId="0" applyFill="1" applyBorder="1" applyAlignment="1" applyProtection="1">
      <alignment shrinkToFit="1"/>
      <protection locked="0" hidden="1"/>
    </xf>
    <xf numFmtId="0" fontId="1" fillId="6" borderId="17" xfId="0" applyFont="1" applyFill="1" applyBorder="1" applyAlignment="1" applyProtection="1">
      <alignment shrinkToFit="1"/>
      <protection locked="0" hidden="1"/>
    </xf>
    <xf numFmtId="173" fontId="0" fillId="6" borderId="52" xfId="0" applyNumberFormat="1" applyFill="1" applyBorder="1" applyAlignment="1" applyProtection="1">
      <alignment shrinkToFit="1"/>
      <protection locked="0" hidden="1"/>
    </xf>
    <xf numFmtId="173" fontId="0" fillId="6" borderId="56" xfId="0" applyNumberFormat="1" applyFill="1" applyBorder="1" applyAlignment="1" applyProtection="1">
      <alignment shrinkToFit="1"/>
      <protection locked="0" hidden="1"/>
    </xf>
    <xf numFmtId="173" fontId="0" fillId="6" borderId="55" xfId="0" applyNumberFormat="1" applyFill="1" applyBorder="1" applyAlignment="1" applyProtection="1">
      <alignment shrinkToFit="1"/>
      <protection locked="0" hidden="1"/>
    </xf>
    <xf numFmtId="0" fontId="46" fillId="0" borderId="8" xfId="0" applyFont="1" applyBorder="1" applyAlignment="1" applyProtection="1">
      <alignment horizontal="center" shrinkToFit="1"/>
      <protection hidden="1"/>
    </xf>
    <xf numFmtId="0" fontId="1" fillId="0" borderId="8" xfId="0" applyFont="1" applyBorder="1" applyAlignment="1" applyProtection="1">
      <alignment horizontal="center" shrinkToFit="1"/>
      <protection hidden="1"/>
    </xf>
    <xf numFmtId="0" fontId="0" fillId="0" borderId="7" xfId="0" applyBorder="1" applyAlignment="1" applyProtection="1">
      <alignment shrinkToFit="1"/>
      <protection hidden="1"/>
    </xf>
    <xf numFmtId="0" fontId="0" fillId="0" borderId="23" xfId="0" applyBorder="1" applyAlignment="1" applyProtection="1">
      <alignment shrinkToFit="1"/>
      <protection hidden="1"/>
    </xf>
    <xf numFmtId="0" fontId="0" fillId="0" borderId="23" xfId="0" applyBorder="1" applyAlignment="1" applyProtection="1">
      <alignment horizontal="center" shrinkToFit="1"/>
      <protection hidden="1"/>
    </xf>
    <xf numFmtId="0" fontId="0" fillId="0" borderId="6" xfId="0" applyBorder="1" applyAlignment="1" applyProtection="1">
      <alignment shrinkToFit="1"/>
      <protection hidden="1"/>
    </xf>
    <xf numFmtId="0" fontId="0" fillId="0" borderId="5" xfId="0" applyBorder="1" applyAlignment="1" applyProtection="1">
      <alignment shrinkToFit="1"/>
      <protection hidden="1"/>
    </xf>
    <xf numFmtId="0" fontId="0" fillId="0" borderId="11" xfId="0" applyBorder="1" applyAlignment="1" applyProtection="1">
      <alignment shrinkToFit="1"/>
      <protection hidden="1"/>
    </xf>
    <xf numFmtId="0" fontId="0" fillId="0" borderId="8" xfId="0" applyBorder="1" applyAlignment="1" applyProtection="1">
      <alignment shrinkToFit="1"/>
      <protection hidden="1"/>
    </xf>
    <xf numFmtId="0" fontId="1" fillId="0" borderId="9" xfId="0" applyFont="1" applyBorder="1" applyAlignment="1" applyProtection="1">
      <alignment horizontal="center" shrinkToFit="1"/>
      <protection hidden="1"/>
    </xf>
    <xf numFmtId="0" fontId="0" fillId="0" borderId="10" xfId="0" applyBorder="1" applyAlignment="1" applyProtection="1">
      <alignment horizontal="center" shrinkToFit="1"/>
      <protection hidden="1"/>
    </xf>
    <xf numFmtId="165" fontId="1" fillId="16" borderId="20" xfId="0" applyNumberFormat="1" applyFont="1" applyFill="1" applyBorder="1" applyAlignment="1" applyProtection="1">
      <alignment horizontal="right" shrinkToFit="1"/>
      <protection hidden="1"/>
    </xf>
    <xf numFmtId="165" fontId="1" fillId="0" borderId="20" xfId="0" applyNumberFormat="1" applyFont="1" applyBorder="1" applyAlignment="1">
      <alignment horizontal="right" shrinkToFit="1"/>
    </xf>
    <xf numFmtId="173" fontId="1" fillId="6" borderId="52" xfId="0" applyNumberFormat="1" applyFont="1" applyFill="1" applyBorder="1" applyAlignment="1" applyProtection="1">
      <alignment horizontal="center" shrinkToFit="1"/>
      <protection locked="0" hidden="1"/>
    </xf>
    <xf numFmtId="164" fontId="1" fillId="6" borderId="52" xfId="0" applyNumberFormat="1" applyFont="1" applyFill="1" applyBorder="1" applyAlignment="1" applyProtection="1">
      <alignment horizontal="center" shrinkToFit="1"/>
      <protection locked="0" hidden="1"/>
    </xf>
    <xf numFmtId="173" fontId="0" fillId="6" borderId="55" xfId="0" applyNumberFormat="1" applyFill="1" applyBorder="1" applyAlignment="1" applyProtection="1">
      <alignment horizontal="center" shrinkToFit="1"/>
      <protection locked="0" hidden="1"/>
    </xf>
    <xf numFmtId="164" fontId="1" fillId="6" borderId="55" xfId="0" applyNumberFormat="1" applyFont="1" applyFill="1" applyBorder="1" applyAlignment="1" applyProtection="1">
      <alignment horizontal="center" shrinkToFit="1"/>
      <protection locked="0" hidden="1"/>
    </xf>
    <xf numFmtId="173" fontId="0" fillId="6" borderId="56" xfId="0" applyNumberFormat="1" applyFill="1" applyBorder="1" applyAlignment="1" applyProtection="1">
      <alignment horizontal="center" shrinkToFit="1"/>
      <protection locked="0" hidden="1"/>
    </xf>
    <xf numFmtId="0" fontId="0" fillId="6" borderId="51" xfId="0" applyFill="1" applyBorder="1" applyAlignment="1" applyProtection="1">
      <alignment horizontal="center" shrinkToFit="1"/>
      <protection locked="0" hidden="1"/>
    </xf>
    <xf numFmtId="173" fontId="0" fillId="6" borderId="52" xfId="0" applyNumberFormat="1" applyFill="1" applyBorder="1" applyAlignment="1" applyProtection="1">
      <alignment horizontal="center" shrinkToFit="1"/>
      <protection locked="0" hidden="1"/>
    </xf>
    <xf numFmtId="0" fontId="1" fillId="6" borderId="37" xfId="0" applyFont="1" applyFill="1" applyBorder="1" applyAlignment="1" applyProtection="1">
      <alignment horizontal="center" shrinkToFit="1"/>
      <protection locked="0" hidden="1"/>
    </xf>
    <xf numFmtId="0" fontId="1" fillId="6" borderId="14" xfId="0" applyFont="1" applyFill="1" applyBorder="1" applyAlignment="1" applyProtection="1">
      <alignment horizontal="center" shrinkToFit="1"/>
      <protection locked="0" hidden="1"/>
    </xf>
    <xf numFmtId="0" fontId="0" fillId="6" borderId="44" xfId="0" applyFill="1" applyBorder="1" applyAlignment="1" applyProtection="1">
      <alignment horizontal="center" shrinkToFit="1"/>
      <protection locked="0" hidden="1"/>
    </xf>
    <xf numFmtId="173" fontId="0" fillId="6" borderId="76" xfId="0" applyNumberFormat="1" applyFill="1" applyBorder="1" applyAlignment="1" applyProtection="1">
      <alignment horizontal="center" shrinkToFit="1"/>
      <protection locked="0" hidden="1"/>
    </xf>
    <xf numFmtId="0" fontId="0" fillId="6" borderId="37" xfId="0" applyFill="1" applyBorder="1" applyAlignment="1" applyProtection="1">
      <alignment horizontal="center" shrinkToFit="1"/>
      <protection locked="0" hidden="1"/>
    </xf>
    <xf numFmtId="0" fontId="0" fillId="6" borderId="25" xfId="0" applyFill="1" applyBorder="1" applyAlignment="1" applyProtection="1">
      <alignment shrinkToFit="1"/>
      <protection locked="0" hidden="1"/>
    </xf>
    <xf numFmtId="0" fontId="13" fillId="0" borderId="2" xfId="0" applyFont="1" applyBorder="1" applyAlignment="1">
      <alignment horizontal="left"/>
    </xf>
    <xf numFmtId="167" fontId="13" fillId="0" borderId="10" xfId="0" applyNumberFormat="1" applyFont="1" applyBorder="1"/>
    <xf numFmtId="0" fontId="0" fillId="0" borderId="6" xfId="0" applyBorder="1" applyAlignment="1" applyProtection="1">
      <alignment horizontal="centerContinuous"/>
      <protection hidden="1"/>
    </xf>
    <xf numFmtId="0" fontId="1" fillId="0" borderId="9" xfId="0" applyFont="1" applyBorder="1" applyAlignment="1" applyProtection="1">
      <alignment horizontal="centerContinuous" vertical="top" wrapText="1"/>
      <protection hidden="1"/>
    </xf>
    <xf numFmtId="0" fontId="0" fillId="0" borderId="10" xfId="0" applyBorder="1" applyAlignment="1" applyProtection="1">
      <alignment horizontal="centerContinuous" vertical="top" wrapText="1"/>
      <protection hidden="1"/>
    </xf>
    <xf numFmtId="0" fontId="0" fillId="0" borderId="12" xfId="0" applyBorder="1" applyAlignment="1" applyProtection="1">
      <alignment horizontal="centerContinuous" vertical="top" wrapText="1"/>
      <protection hidden="1"/>
    </xf>
    <xf numFmtId="1" fontId="1" fillId="20" borderId="4" xfId="0" applyNumberFormat="1" applyFont="1" applyFill="1" applyBorder="1" applyProtection="1">
      <protection hidden="1"/>
    </xf>
    <xf numFmtId="164" fontId="1" fillId="6" borderId="76" xfId="0" applyNumberFormat="1" applyFont="1" applyFill="1" applyBorder="1" applyAlignment="1" applyProtection="1">
      <alignment horizontal="center" shrinkToFit="1"/>
      <protection locked="0" hidden="1"/>
    </xf>
    <xf numFmtId="167" fontId="52" fillId="17" borderId="0" xfId="0" applyNumberFormat="1" applyFont="1" applyFill="1" applyProtection="1">
      <protection hidden="1"/>
    </xf>
    <xf numFmtId="165" fontId="1" fillId="18" borderId="8" xfId="0" applyNumberFormat="1" applyFont="1" applyFill="1" applyBorder="1" applyAlignment="1" applyProtection="1">
      <alignment horizontal="center" vertical="center"/>
      <protection hidden="1"/>
    </xf>
    <xf numFmtId="0" fontId="1" fillId="0" borderId="8" xfId="0" applyFont="1" applyBorder="1" applyProtection="1">
      <protection hidden="1"/>
    </xf>
    <xf numFmtId="0" fontId="27" fillId="20" borderId="2" xfId="0" applyFont="1" applyFill="1" applyBorder="1" applyAlignment="1" applyProtection="1">
      <alignment horizontal="centerContinuous" vertical="center" shrinkToFit="1"/>
      <protection hidden="1"/>
    </xf>
    <xf numFmtId="0" fontId="27" fillId="20" borderId="3" xfId="0" applyFont="1" applyFill="1" applyBorder="1" applyAlignment="1" applyProtection="1">
      <alignment horizontal="centerContinuous" shrinkToFit="1"/>
      <protection hidden="1"/>
    </xf>
    <xf numFmtId="0" fontId="27" fillId="20" borderId="4" xfId="0" applyFont="1" applyFill="1" applyBorder="1" applyAlignment="1" applyProtection="1">
      <alignment horizontal="centerContinuous" shrinkToFit="1"/>
      <protection hidden="1"/>
    </xf>
    <xf numFmtId="0" fontId="62" fillId="0" borderId="24" xfId="0" applyFont="1" applyBorder="1" applyAlignment="1" applyProtection="1">
      <alignment horizontal="center" shrinkToFit="1"/>
      <protection hidden="1"/>
    </xf>
    <xf numFmtId="0" fontId="62" fillId="0" borderId="23" xfId="0" applyFont="1" applyBorder="1" applyAlignment="1" applyProtection="1">
      <alignment horizontal="center" shrinkToFit="1"/>
      <protection hidden="1"/>
    </xf>
    <xf numFmtId="0" fontId="62" fillId="0" borderId="15" xfId="0" applyFont="1" applyBorder="1" applyAlignment="1" applyProtection="1">
      <alignment horizontal="center" shrinkToFit="1"/>
      <protection hidden="1"/>
    </xf>
    <xf numFmtId="0" fontId="27" fillId="20" borderId="2" xfId="0" applyFont="1" applyFill="1" applyBorder="1" applyAlignment="1" applyProtection="1">
      <alignment horizontal="centerContinuous" vertical="center"/>
      <protection hidden="1"/>
    </xf>
    <xf numFmtId="0" fontId="63" fillId="18" borderId="9" xfId="0" applyFont="1" applyFill="1" applyBorder="1" applyProtection="1">
      <protection hidden="1"/>
    </xf>
    <xf numFmtId="167" fontId="49" fillId="18" borderId="9" xfId="0" applyNumberFormat="1" applyFont="1" applyFill="1" applyBorder="1" applyProtection="1">
      <protection hidden="1"/>
    </xf>
    <xf numFmtId="0" fontId="1" fillId="6" borderId="52" xfId="0" applyFont="1" applyFill="1" applyBorder="1" applyAlignment="1" applyProtection="1">
      <alignment horizontal="center" shrinkToFit="1"/>
      <protection locked="0" hidden="1"/>
    </xf>
    <xf numFmtId="167" fontId="52" fillId="17" borderId="0" xfId="0" applyNumberFormat="1" applyFont="1" applyFill="1" applyAlignment="1" applyProtection="1">
      <alignment horizontal="center" vertical="center"/>
      <protection hidden="1"/>
    </xf>
    <xf numFmtId="0" fontId="10" fillId="18" borderId="6" xfId="0" applyFont="1" applyFill="1" applyBorder="1" applyAlignment="1" applyProtection="1">
      <alignment horizontal="centerContinuous" wrapText="1"/>
      <protection hidden="1"/>
    </xf>
    <xf numFmtId="0" fontId="10" fillId="18" borderId="5" xfId="0" applyFont="1" applyFill="1" applyBorder="1" applyAlignment="1" applyProtection="1">
      <alignment horizontal="centerContinuous" wrapText="1"/>
      <protection hidden="1"/>
    </xf>
    <xf numFmtId="0" fontId="10" fillId="18" borderId="11" xfId="0" applyFont="1" applyFill="1" applyBorder="1" applyAlignment="1" applyProtection="1">
      <alignment horizontal="centerContinuous" wrapText="1"/>
      <protection hidden="1"/>
    </xf>
    <xf numFmtId="0" fontId="0" fillId="20" borderId="3" xfId="0" applyFill="1" applyBorder="1" applyAlignment="1" applyProtection="1">
      <alignment horizontal="centerContinuous"/>
      <protection hidden="1"/>
    </xf>
    <xf numFmtId="0" fontId="0" fillId="20" borderId="4" xfId="0" applyFill="1" applyBorder="1" applyAlignment="1" applyProtection="1">
      <alignment horizontal="centerContinuous"/>
      <protection hidden="1"/>
    </xf>
    <xf numFmtId="0" fontId="10" fillId="20" borderId="2" xfId="0" applyFont="1" applyFill="1" applyBorder="1" applyAlignment="1" applyProtection="1">
      <alignment horizontal="centerContinuous"/>
      <protection hidden="1"/>
    </xf>
    <xf numFmtId="0" fontId="10" fillId="20" borderId="6" xfId="0" applyFont="1" applyFill="1" applyBorder="1" applyAlignment="1" applyProtection="1">
      <alignment horizontal="centerContinuous"/>
      <protection hidden="1"/>
    </xf>
    <xf numFmtId="0" fontId="10" fillId="20" borderId="5" xfId="0" applyFont="1" applyFill="1" applyBorder="1" applyAlignment="1" applyProtection="1">
      <alignment horizontal="centerContinuous"/>
      <protection hidden="1"/>
    </xf>
    <xf numFmtId="0" fontId="10" fillId="20" borderId="11" xfId="0" applyFont="1" applyFill="1" applyBorder="1" applyAlignment="1" applyProtection="1">
      <alignment horizontal="centerContinuous"/>
      <protection hidden="1"/>
    </xf>
    <xf numFmtId="0" fontId="1" fillId="0" borderId="2" xfId="0" applyFont="1" applyBorder="1" applyAlignment="1" applyProtection="1">
      <alignment horizontal="centerContinuous" wrapText="1"/>
      <protection hidden="1"/>
    </xf>
    <xf numFmtId="0" fontId="10" fillId="0" borderId="5" xfId="0" applyFont="1" applyBorder="1" applyAlignment="1" applyProtection="1">
      <alignment horizontal="centerContinuous"/>
      <protection hidden="1"/>
    </xf>
    <xf numFmtId="0" fontId="10" fillId="0" borderId="11" xfId="0" applyFont="1" applyBorder="1" applyAlignment="1" applyProtection="1">
      <alignment horizontal="centerContinuous"/>
      <protection hidden="1"/>
    </xf>
    <xf numFmtId="0" fontId="5" fillId="18" borderId="0" xfId="0" applyFont="1" applyFill="1" applyAlignment="1" applyProtection="1">
      <alignment horizontal="center" vertical="center"/>
      <protection hidden="1"/>
    </xf>
    <xf numFmtId="0" fontId="1" fillId="18" borderId="0" xfId="0" applyFont="1" applyFill="1" applyAlignment="1" applyProtection="1">
      <alignment horizontal="right"/>
      <protection hidden="1"/>
    </xf>
    <xf numFmtId="164" fontId="6" fillId="6" borderId="4" xfId="0" applyNumberFormat="1" applyFont="1" applyFill="1" applyBorder="1" applyAlignment="1" applyProtection="1">
      <alignment horizontal="right" vertical="center" shrinkToFit="1"/>
      <protection hidden="1"/>
    </xf>
    <xf numFmtId="0" fontId="5" fillId="2" borderId="36" xfId="0" applyFont="1" applyFill="1" applyBorder="1" applyAlignment="1">
      <alignment horizontal="center"/>
    </xf>
    <xf numFmtId="0" fontId="0" fillId="17" borderId="3" xfId="0" applyFill="1" applyBorder="1" applyAlignment="1" applyProtection="1">
      <alignment horizontal="centerContinuous"/>
      <protection hidden="1"/>
    </xf>
    <xf numFmtId="164" fontId="0" fillId="17" borderId="4" xfId="0" applyNumberFormat="1" applyFill="1" applyBorder="1" applyAlignment="1" applyProtection="1">
      <alignment horizontal="centerContinuous"/>
      <protection hidden="1"/>
    </xf>
    <xf numFmtId="0" fontId="10" fillId="17" borderId="2" xfId="0" applyFont="1" applyFill="1" applyBorder="1" applyAlignment="1" applyProtection="1">
      <alignment horizontal="centerContinuous"/>
      <protection hidden="1"/>
    </xf>
    <xf numFmtId="0" fontId="5" fillId="0" borderId="40"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3" borderId="2" xfId="0" applyFont="1" applyFill="1" applyBorder="1" applyAlignment="1">
      <alignment horizontal="centerContinuous" vertical="top" wrapText="1"/>
    </xf>
    <xf numFmtId="0" fontId="5" fillId="3" borderId="3" xfId="0" applyFont="1" applyFill="1" applyBorder="1" applyAlignment="1">
      <alignment horizontal="centerContinuous" vertical="top" wrapText="1"/>
    </xf>
    <xf numFmtId="0" fontId="15" fillId="0" borderId="7" xfId="0" applyFont="1" applyBorder="1" applyAlignment="1">
      <alignment horizontal="center" vertical="center" wrapText="1"/>
    </xf>
    <xf numFmtId="164" fontId="0" fillId="0" borderId="38" xfId="0" applyNumberFormat="1" applyBorder="1" applyProtection="1">
      <protection locked="0"/>
    </xf>
    <xf numFmtId="164" fontId="0" fillId="0" borderId="61" xfId="0" applyNumberFormat="1" applyBorder="1" applyProtection="1">
      <protection locked="0"/>
    </xf>
    <xf numFmtId="164" fontId="0" fillId="0" borderId="17" xfId="0" applyNumberFormat="1" applyBorder="1" applyProtection="1">
      <protection locked="0"/>
    </xf>
    <xf numFmtId="164" fontId="0" fillId="0" borderId="19" xfId="0" applyNumberFormat="1" applyBorder="1" applyProtection="1">
      <protection locked="0"/>
    </xf>
    <xf numFmtId="164" fontId="0" fillId="0" borderId="20" xfId="0" applyNumberFormat="1" applyBorder="1" applyProtection="1">
      <protection locked="0"/>
    </xf>
    <xf numFmtId="164" fontId="0" fillId="0" borderId="42" xfId="0" applyNumberFormat="1" applyBorder="1" applyProtection="1">
      <protection locked="0"/>
    </xf>
    <xf numFmtId="164" fontId="0" fillId="0" borderId="29" xfId="0" applyNumberFormat="1" applyBorder="1" applyProtection="1">
      <protection locked="0"/>
    </xf>
    <xf numFmtId="164" fontId="1" fillId="0" borderId="42" xfId="0" applyNumberFormat="1" applyFont="1" applyBorder="1" applyProtection="1">
      <protection locked="0"/>
    </xf>
    <xf numFmtId="164" fontId="0" fillId="0" borderId="14" xfId="0" applyNumberFormat="1" applyBorder="1" applyProtection="1">
      <protection locked="0"/>
    </xf>
    <xf numFmtId="164" fontId="0" fillId="0" borderId="28" xfId="0" applyNumberFormat="1" applyBorder="1" applyProtection="1">
      <protection locked="0"/>
    </xf>
    <xf numFmtId="164" fontId="0" fillId="0" borderId="30" xfId="0" applyNumberFormat="1" applyBorder="1" applyAlignment="1" applyProtection="1">
      <alignment horizontal="center"/>
      <protection locked="0"/>
    </xf>
    <xf numFmtId="164" fontId="1" fillId="0" borderId="20" xfId="0" applyNumberFormat="1" applyFont="1" applyBorder="1" applyAlignment="1" applyProtection="1">
      <alignment horizontal="center"/>
      <protection locked="0"/>
    </xf>
    <xf numFmtId="164" fontId="0" fillId="0" borderId="20" xfId="0" applyNumberFormat="1" applyBorder="1" applyAlignment="1" applyProtection="1">
      <alignment horizontal="center"/>
      <protection locked="0"/>
    </xf>
    <xf numFmtId="164" fontId="9" fillId="0" borderId="64" xfId="1" applyNumberFormat="1" applyFont="1" applyFill="1" applyBorder="1" applyAlignment="1" applyProtection="1">
      <alignment horizontal="center"/>
      <protection locked="0"/>
    </xf>
    <xf numFmtId="164" fontId="9" fillId="0" borderId="13" xfId="1" applyNumberFormat="1" applyFont="1" applyFill="1" applyBorder="1" applyAlignment="1" applyProtection="1">
      <alignment horizontal="center"/>
      <protection locked="0"/>
    </xf>
    <xf numFmtId="164" fontId="9" fillId="0" borderId="66" xfId="1" applyNumberFormat="1" applyFont="1" applyFill="1" applyBorder="1" applyAlignment="1" applyProtection="1">
      <alignment horizontal="center"/>
      <protection locked="0"/>
    </xf>
    <xf numFmtId="164" fontId="9" fillId="0" borderId="20" xfId="1" applyNumberFormat="1" applyFont="1" applyFill="1" applyBorder="1" applyAlignment="1" applyProtection="1">
      <alignment horizontal="center"/>
      <protection locked="0"/>
    </xf>
    <xf numFmtId="164" fontId="1" fillId="0" borderId="20" xfId="0" applyNumberFormat="1" applyFont="1" applyBorder="1" applyProtection="1">
      <protection locked="0"/>
    </xf>
    <xf numFmtId="0" fontId="9" fillId="0" borderId="20" xfId="1" applyNumberFormat="1" applyFont="1" applyFill="1" applyBorder="1" applyAlignment="1" applyProtection="1">
      <alignment horizontal="center"/>
      <protection locked="0"/>
    </xf>
    <xf numFmtId="10" fontId="0" fillId="0" borderId="8" xfId="0" applyNumberFormat="1" applyBorder="1" applyProtection="1">
      <protection locked="0"/>
    </xf>
    <xf numFmtId="10" fontId="0" fillId="0" borderId="12" xfId="0" applyNumberFormat="1" applyBorder="1" applyProtection="1">
      <protection locked="0"/>
    </xf>
    <xf numFmtId="167" fontId="0" fillId="17" borderId="0" xfId="0" applyNumberFormat="1" applyFill="1" applyAlignment="1" applyProtection="1">
      <alignment horizontal="center" vertical="center"/>
      <protection hidden="1"/>
    </xf>
    <xf numFmtId="167" fontId="0" fillId="0" borderId="8" xfId="0" applyNumberFormat="1" applyBorder="1" applyAlignment="1" applyProtection="1">
      <alignment horizontal="center" vertical="center"/>
      <protection hidden="1"/>
    </xf>
    <xf numFmtId="165" fontId="1" fillId="20" borderId="20" xfId="0" applyNumberFormat="1" applyFont="1" applyFill="1" applyBorder="1" applyAlignment="1">
      <alignment horizontal="center" shrinkToFit="1"/>
    </xf>
    <xf numFmtId="167" fontId="0" fillId="0" borderId="0" xfId="0" applyNumberFormat="1" applyAlignment="1" applyProtection="1">
      <alignment horizontal="center" vertical="center"/>
      <protection hidden="1"/>
    </xf>
    <xf numFmtId="167" fontId="0" fillId="0" borderId="0" xfId="0" applyNumberFormat="1" applyAlignment="1" applyProtection="1">
      <alignment horizontal="centerContinuous" vertical="center"/>
      <protection hidden="1"/>
    </xf>
    <xf numFmtId="167" fontId="27" fillId="20" borderId="3" xfId="0" applyNumberFormat="1" applyFont="1" applyFill="1" applyBorder="1" applyAlignment="1" applyProtection="1">
      <alignment horizontal="centerContinuous"/>
      <protection hidden="1"/>
    </xf>
    <xf numFmtId="167" fontId="0" fillId="18" borderId="0" xfId="0" applyNumberFormat="1" applyFill="1" applyAlignment="1" applyProtection="1">
      <alignment horizontal="center" vertical="center"/>
      <protection hidden="1"/>
    </xf>
    <xf numFmtId="0" fontId="1" fillId="17" borderId="0" xfId="0" quotePrefix="1" applyFont="1" applyFill="1"/>
    <xf numFmtId="3" fontId="1" fillId="0" borderId="22" xfId="0" quotePrefix="1" applyNumberFormat="1" applyFont="1" applyBorder="1" applyAlignment="1">
      <alignment horizontal="center"/>
    </xf>
    <xf numFmtId="167" fontId="0" fillId="20" borderId="4" xfId="0" applyNumberFormat="1" applyFill="1" applyBorder="1" applyAlignment="1" applyProtection="1">
      <alignment horizontal="centerContinuous"/>
      <protection hidden="1"/>
    </xf>
    <xf numFmtId="0" fontId="52" fillId="17" borderId="0" xfId="0" applyFont="1" applyFill="1" applyProtection="1">
      <protection hidden="1"/>
    </xf>
    <xf numFmtId="0" fontId="64" fillId="17" borderId="0" xfId="0" applyFont="1" applyFill="1"/>
    <xf numFmtId="0" fontId="65" fillId="18" borderId="0" xfId="0" applyFont="1" applyFill="1" applyProtection="1">
      <protection hidden="1"/>
    </xf>
    <xf numFmtId="0" fontId="65" fillId="18" borderId="0" xfId="0" applyFont="1" applyFill="1" applyAlignment="1" applyProtection="1">
      <alignment horizontal="center"/>
      <protection hidden="1"/>
    </xf>
    <xf numFmtId="0" fontId="66" fillId="18" borderId="0" xfId="0" applyFont="1" applyFill="1" applyAlignment="1" applyProtection="1">
      <alignment horizontal="center"/>
      <protection hidden="1"/>
    </xf>
    <xf numFmtId="167" fontId="1" fillId="17" borderId="7" xfId="0" applyNumberFormat="1" applyFont="1" applyFill="1" applyBorder="1" applyProtection="1">
      <protection hidden="1"/>
    </xf>
    <xf numFmtId="0" fontId="67" fillId="0" borderId="0" xfId="0" applyFont="1" applyAlignment="1">
      <alignment horizontal="centerContinuous"/>
    </xf>
    <xf numFmtId="0" fontId="0" fillId="0" borderId="0" xfId="0" applyAlignment="1">
      <alignment horizontal="centerContinuous"/>
    </xf>
    <xf numFmtId="0" fontId="68" fillId="0" borderId="0" xfId="0" applyFont="1" applyAlignment="1">
      <alignment horizontal="centerContinuous"/>
    </xf>
    <xf numFmtId="0" fontId="0" fillId="0" borderId="0" xfId="0" applyAlignment="1">
      <alignment horizontal="right"/>
    </xf>
    <xf numFmtId="0" fontId="69" fillId="0" borderId="0" xfId="0" applyFont="1" applyAlignment="1">
      <alignment horizontal="right"/>
    </xf>
    <xf numFmtId="0" fontId="1" fillId="0" borderId="0" xfId="0" applyFont="1" applyProtection="1">
      <protection locked="0"/>
    </xf>
    <xf numFmtId="0" fontId="13" fillId="0" borderId="0" xfId="0" applyFont="1" applyAlignment="1">
      <alignment horizontal="centerContinuous" shrinkToFit="1"/>
    </xf>
    <xf numFmtId="0" fontId="53" fillId="17" borderId="0" xfId="0" quotePrefix="1" applyFont="1" applyFill="1" applyAlignment="1">
      <alignment vertical="center"/>
    </xf>
    <xf numFmtId="165" fontId="1" fillId="18" borderId="10" xfId="0" applyNumberFormat="1" applyFont="1" applyFill="1" applyBorder="1" applyAlignment="1">
      <alignment horizontal="right"/>
    </xf>
    <xf numFmtId="0" fontId="1" fillId="18" borderId="10" xfId="0" applyFont="1" applyFill="1" applyBorder="1" applyAlignment="1">
      <alignment horizontal="left" vertical="center"/>
    </xf>
    <xf numFmtId="0" fontId="1" fillId="18" borderId="10" xfId="0" applyFont="1" applyFill="1" applyBorder="1" applyAlignment="1">
      <alignment horizontal="center"/>
    </xf>
    <xf numFmtId="164" fontId="1" fillId="18" borderId="12" xfId="0" applyNumberFormat="1" applyFont="1" applyFill="1" applyBorder="1" applyAlignment="1">
      <alignment horizontal="center" vertical="center"/>
    </xf>
    <xf numFmtId="167" fontId="1" fillId="0" borderId="9" xfId="0" applyNumberFormat="1" applyFont="1" applyBorder="1"/>
    <xf numFmtId="0" fontId="0" fillId="0" borderId="10" xfId="0" applyBorder="1" applyAlignment="1">
      <alignment horizontal="centerContinuous"/>
    </xf>
    <xf numFmtId="0" fontId="0" fillId="0" borderId="3" xfId="0" applyBorder="1" applyAlignment="1">
      <alignment horizontal="centerContinuous"/>
    </xf>
    <xf numFmtId="0" fontId="0" fillId="0" borderId="3" xfId="0" applyBorder="1" applyAlignment="1">
      <alignment horizontal="centerContinuous" shrinkToFit="1"/>
    </xf>
    <xf numFmtId="0" fontId="1" fillId="0" borderId="10" xfId="0" quotePrefix="1" applyFont="1" applyBorder="1"/>
    <xf numFmtId="0" fontId="26" fillId="0" borderId="0" xfId="0" applyFont="1" applyAlignment="1">
      <alignment horizontal="right"/>
    </xf>
    <xf numFmtId="0" fontId="13" fillId="0" borderId="0" xfId="0" applyFont="1" applyAlignment="1">
      <alignment horizontal="right"/>
    </xf>
    <xf numFmtId="0" fontId="26" fillId="0" borderId="0" xfId="0" applyFont="1" applyAlignment="1">
      <alignment horizontal="left"/>
    </xf>
    <xf numFmtId="0" fontId="0" fillId="24" borderId="0" xfId="0" applyFill="1"/>
    <xf numFmtId="165" fontId="1" fillId="18" borderId="0" xfId="0" applyNumberFormat="1" applyFont="1" applyFill="1" applyAlignment="1">
      <alignment shrinkToFit="1"/>
    </xf>
    <xf numFmtId="0" fontId="1" fillId="6" borderId="65" xfId="0" applyFont="1" applyFill="1" applyBorder="1" applyAlignment="1" applyProtection="1">
      <alignment shrinkToFit="1"/>
      <protection locked="0" hidden="1"/>
    </xf>
    <xf numFmtId="0" fontId="1" fillId="6" borderId="52" xfId="0" applyFont="1" applyFill="1" applyBorder="1" applyAlignment="1" applyProtection="1">
      <alignment shrinkToFit="1"/>
      <protection locked="0" hidden="1"/>
    </xf>
    <xf numFmtId="0" fontId="13" fillId="0" borderId="5" xfId="0" applyFont="1" applyBorder="1" applyAlignment="1">
      <alignment vertical="top"/>
    </xf>
    <xf numFmtId="0" fontId="3" fillId="0" borderId="5" xfId="0" applyFont="1" applyBorder="1" applyAlignment="1">
      <alignment vertical="center"/>
    </xf>
    <xf numFmtId="0" fontId="0" fillId="6" borderId="60" xfId="0" applyFill="1" applyBorder="1" applyAlignment="1" applyProtection="1">
      <alignment horizontal="center" shrinkToFit="1"/>
      <protection locked="0" hidden="1"/>
    </xf>
    <xf numFmtId="0" fontId="0" fillId="6" borderId="59" xfId="0" applyFill="1" applyBorder="1" applyAlignment="1" applyProtection="1">
      <alignment horizontal="center" shrinkToFit="1"/>
      <protection locked="0" hidden="1"/>
    </xf>
    <xf numFmtId="0" fontId="1" fillId="20" borderId="12" xfId="0" applyFont="1" applyFill="1" applyBorder="1" applyProtection="1">
      <protection hidden="1"/>
    </xf>
    <xf numFmtId="164" fontId="1" fillId="6" borderId="87" xfId="0" applyNumberFormat="1" applyFont="1" applyFill="1" applyBorder="1" applyAlignment="1" applyProtection="1">
      <alignment horizontal="center" shrinkToFit="1"/>
      <protection locked="0" hidden="1"/>
    </xf>
    <xf numFmtId="167" fontId="1" fillId="6" borderId="3" xfId="0" applyNumberFormat="1" applyFont="1" applyFill="1" applyBorder="1" applyAlignment="1" applyProtection="1">
      <alignment horizontal="center" vertical="center"/>
      <protection hidden="1"/>
    </xf>
    <xf numFmtId="0" fontId="1" fillId="0" borderId="0" xfId="0" applyFont="1" applyAlignment="1" applyProtection="1">
      <alignment horizontal="centerContinuous" vertical="center"/>
      <protection hidden="1"/>
    </xf>
    <xf numFmtId="164" fontId="1" fillId="0" borderId="0" xfId="0" applyNumberFormat="1" applyFont="1" applyAlignment="1" applyProtection="1">
      <alignment horizontal="centerContinuous" vertical="center"/>
      <protection hidden="1"/>
    </xf>
    <xf numFmtId="167" fontId="1" fillId="0" borderId="14" xfId="0" applyNumberFormat="1" applyFont="1" applyBorder="1" applyAlignment="1" applyProtection="1">
      <alignment horizontal="center" vertical="center"/>
      <protection hidden="1"/>
    </xf>
    <xf numFmtId="164" fontId="1" fillId="0" borderId="36" xfId="0" quotePrefix="1" applyNumberFormat="1" applyFont="1" applyBorder="1" applyAlignment="1" applyProtection="1">
      <alignment horizontal="centerContinuous" vertical="center"/>
      <protection hidden="1"/>
    </xf>
    <xf numFmtId="167" fontId="1" fillId="0" borderId="0" xfId="0" quotePrefix="1" applyNumberFormat="1" applyFont="1" applyAlignment="1" applyProtection="1">
      <alignment vertical="center"/>
      <protection hidden="1"/>
    </xf>
    <xf numFmtId="167" fontId="1" fillId="0" borderId="14" xfId="0" quotePrefix="1" applyNumberFormat="1" applyFont="1" applyBorder="1" applyAlignment="1" applyProtection="1">
      <alignment horizontal="center" vertical="center"/>
      <protection hidden="1"/>
    </xf>
    <xf numFmtId="167" fontId="1" fillId="0" borderId="8" xfId="0" applyNumberFormat="1" applyFont="1" applyBorder="1" applyAlignment="1" applyProtection="1">
      <alignment horizontal="center" shrinkToFit="1"/>
      <protection hidden="1"/>
    </xf>
    <xf numFmtId="0" fontId="5" fillId="0" borderId="0" xfId="0" applyFont="1" applyAlignment="1" applyProtection="1">
      <alignment horizontal="centerContinuous" vertical="center" shrinkToFit="1"/>
      <protection hidden="1"/>
    </xf>
    <xf numFmtId="167" fontId="1" fillId="0" borderId="0" xfId="0" applyNumberFormat="1" applyFont="1" applyAlignment="1" applyProtection="1">
      <alignment horizontal="centerContinuous" vertical="center" shrinkToFit="1"/>
      <protection hidden="1"/>
    </xf>
    <xf numFmtId="167" fontId="1" fillId="0" borderId="0" xfId="0" quotePrefix="1" applyNumberFormat="1" applyFont="1" applyAlignment="1" applyProtection="1">
      <alignment horizontal="centerContinuous" vertical="center"/>
      <protection hidden="1"/>
    </xf>
    <xf numFmtId="167" fontId="1" fillId="0" borderId="8" xfId="0" applyNumberFormat="1" applyFont="1" applyBorder="1" applyAlignment="1" applyProtection="1">
      <alignment horizontal="center" vertical="center" shrinkToFit="1"/>
      <protection hidden="1"/>
    </xf>
    <xf numFmtId="0" fontId="4" fillId="0" borderId="7" xfId="0" applyFont="1" applyBorder="1" applyAlignment="1" applyProtection="1">
      <alignment horizontal="left" vertical="center"/>
      <protection hidden="1"/>
    </xf>
    <xf numFmtId="167" fontId="4" fillId="0" borderId="0" xfId="0" applyNumberFormat="1" applyFont="1" applyProtection="1">
      <protection hidden="1"/>
    </xf>
    <xf numFmtId="167" fontId="4" fillId="0" borderId="0" xfId="0" applyNumberFormat="1" applyFont="1" applyAlignment="1" applyProtection="1">
      <alignment horizontal="center"/>
      <protection hidden="1"/>
    </xf>
    <xf numFmtId="0" fontId="3" fillId="0" borderId="0" xfId="0" applyFont="1" applyAlignment="1" applyProtection="1">
      <alignment horizontal="center" vertical="distributed" wrapText="1"/>
      <protection hidden="1"/>
    </xf>
    <xf numFmtId="0" fontId="3" fillId="0" borderId="5" xfId="0" applyFont="1" applyBorder="1" applyAlignment="1" applyProtection="1">
      <alignment horizontal="center" vertical="distributed" wrapText="1"/>
      <protection hidden="1"/>
    </xf>
    <xf numFmtId="0" fontId="13" fillId="23" borderId="6" xfId="0" applyFont="1" applyFill="1" applyBorder="1" applyAlignment="1" applyProtection="1">
      <alignment horizontal="center"/>
      <protection hidden="1"/>
    </xf>
    <xf numFmtId="0" fontId="1" fillId="20" borderId="30" xfId="0" applyFont="1" applyFill="1" applyBorder="1" applyAlignment="1" applyProtection="1">
      <alignment horizontal="center" vertical="center"/>
      <protection hidden="1"/>
    </xf>
    <xf numFmtId="0" fontId="3" fillId="0" borderId="4" xfId="0" applyFont="1" applyBorder="1" applyAlignment="1" applyProtection="1">
      <alignment vertical="center" shrinkToFit="1"/>
      <protection hidden="1"/>
    </xf>
    <xf numFmtId="0" fontId="6" fillId="0" borderId="10" xfId="0" applyFont="1" applyBorder="1" applyProtection="1">
      <protection hidden="1"/>
    </xf>
    <xf numFmtId="0" fontId="3" fillId="0" borderId="10" xfId="0" applyFont="1" applyBorder="1" applyAlignment="1" applyProtection="1">
      <alignment vertical="center" shrinkToFit="1"/>
      <protection hidden="1"/>
    </xf>
    <xf numFmtId="0" fontId="13" fillId="0" borderId="4" xfId="0" applyFont="1" applyBorder="1" applyProtection="1">
      <protection hidden="1"/>
    </xf>
    <xf numFmtId="0" fontId="6" fillId="0" borderId="0" xfId="0" applyFont="1" applyProtection="1">
      <protection hidden="1"/>
    </xf>
    <xf numFmtId="0" fontId="13" fillId="0" borderId="0" xfId="0" applyFont="1" applyAlignment="1" applyProtection="1">
      <alignment horizontal="right" shrinkToFit="1"/>
      <protection hidden="1"/>
    </xf>
    <xf numFmtId="0" fontId="13" fillId="0" borderId="2" xfId="0" applyFont="1" applyBorder="1" applyAlignment="1" applyProtection="1">
      <alignment horizontal="right"/>
      <protection hidden="1"/>
    </xf>
    <xf numFmtId="0" fontId="0" fillId="0" borderId="0" xfId="0" applyAlignment="1">
      <alignment horizontal="centerContinuous" vertical="center" shrinkToFit="1"/>
    </xf>
    <xf numFmtId="167" fontId="13" fillId="0" borderId="5" xfId="0" applyNumberFormat="1" applyFont="1" applyBorder="1"/>
    <xf numFmtId="0" fontId="6" fillId="0" borderId="0" xfId="0" applyFont="1" applyAlignment="1">
      <alignment horizontal="left"/>
    </xf>
    <xf numFmtId="0" fontId="28" fillId="19" borderId="0" xfId="0" applyFont="1" applyFill="1"/>
    <xf numFmtId="0" fontId="28" fillId="17" borderId="0" xfId="0" applyFont="1" applyFill="1"/>
    <xf numFmtId="0" fontId="26" fillId="0" borderId="0" xfId="0" applyFont="1" applyAlignment="1">
      <alignment horizontal="centerContinuous" shrinkToFit="1"/>
    </xf>
    <xf numFmtId="0" fontId="28" fillId="0" borderId="0" xfId="0" applyFont="1" applyAlignment="1">
      <alignment horizontal="centerContinuous"/>
    </xf>
    <xf numFmtId="0" fontId="27" fillId="0" borderId="10" xfId="0" applyFont="1" applyBorder="1"/>
    <xf numFmtId="0" fontId="28" fillId="0" borderId="0" xfId="0" applyFont="1"/>
    <xf numFmtId="0" fontId="28" fillId="0" borderId="24" xfId="0" applyFont="1" applyBorder="1"/>
    <xf numFmtId="0" fontId="40" fillId="0" borderId="2" xfId="0" applyFont="1" applyBorder="1" applyAlignment="1">
      <alignment vertical="center"/>
    </xf>
    <xf numFmtId="0" fontId="40" fillId="0" borderId="3" xfId="0" applyFont="1" applyBorder="1" applyAlignment="1">
      <alignment vertical="center"/>
    </xf>
    <xf numFmtId="0" fontId="40" fillId="0" borderId="4" xfId="0" applyFont="1" applyBorder="1" applyAlignment="1">
      <alignment vertical="center"/>
    </xf>
    <xf numFmtId="0" fontId="15" fillId="0" borderId="23" xfId="0" applyFont="1" applyBorder="1" applyAlignment="1">
      <alignment horizontal="center" vertical="top" wrapText="1"/>
    </xf>
    <xf numFmtId="0" fontId="28" fillId="17" borderId="0" xfId="0" applyFont="1" applyFill="1" applyAlignment="1">
      <alignment horizontal="center"/>
    </xf>
    <xf numFmtId="0" fontId="28" fillId="0" borderId="3" xfId="0" applyFont="1" applyBorder="1" applyAlignment="1">
      <alignment vertical="top"/>
    </xf>
    <xf numFmtId="0" fontId="28" fillId="0" borderId="4" xfId="0" applyFont="1" applyBorder="1" applyAlignment="1">
      <alignment vertical="top"/>
    </xf>
    <xf numFmtId="0" fontId="15" fillId="0" borderId="15" xfId="0" applyFont="1" applyBorder="1" applyAlignment="1">
      <alignment horizontal="center" vertical="center" wrapText="1"/>
    </xf>
    <xf numFmtId="0" fontId="40" fillId="0" borderId="5" xfId="0" applyFont="1" applyBorder="1" applyAlignment="1">
      <alignment vertical="center" wrapText="1"/>
    </xf>
    <xf numFmtId="0" fontId="27" fillId="0" borderId="10" xfId="0" applyFont="1" applyBorder="1" applyAlignment="1">
      <alignment horizontal="left"/>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3" xfId="0" applyFont="1" applyBorder="1"/>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7" fillId="0" borderId="3" xfId="0" applyFont="1" applyBorder="1" applyAlignment="1">
      <alignment vertical="center"/>
    </xf>
    <xf numFmtId="0" fontId="28" fillId="0" borderId="0" xfId="0" applyFont="1" applyAlignment="1">
      <alignment horizontal="left"/>
    </xf>
    <xf numFmtId="0" fontId="27" fillId="0" borderId="0" xfId="0" applyFont="1" applyAlignment="1">
      <alignment vertical="center"/>
    </xf>
    <xf numFmtId="0" fontId="27" fillId="0" borderId="0" xfId="0" applyFont="1" applyAlignment="1">
      <alignment horizontal="center" vertical="center"/>
    </xf>
    <xf numFmtId="0" fontId="28" fillId="17" borderId="0" xfId="0" applyFont="1" applyFill="1" applyAlignment="1">
      <alignment horizontal="left"/>
    </xf>
    <xf numFmtId="0" fontId="28" fillId="0" borderId="2" xfId="0" applyFont="1" applyBorder="1" applyAlignment="1">
      <alignment horizontal="left" vertical="center" wrapText="1"/>
    </xf>
    <xf numFmtId="0" fontId="40" fillId="0" borderId="3" xfId="0" applyFont="1" applyBorder="1" applyAlignment="1">
      <alignment horizontal="left" vertical="top" wrapText="1"/>
    </xf>
    <xf numFmtId="0" fontId="13" fillId="0" borderId="3" xfId="0" applyFont="1" applyBorder="1" applyAlignment="1">
      <alignment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17" borderId="0" xfId="0" applyFont="1" applyFill="1" applyAlignment="1">
      <alignment horizontal="center" vertical="center"/>
    </xf>
    <xf numFmtId="0" fontId="26" fillId="0" borderId="0" xfId="0" applyFont="1" applyAlignment="1">
      <alignment horizontal="centerContinuous" vertical="center"/>
    </xf>
    <xf numFmtId="0" fontId="71" fillId="0" borderId="2" xfId="0" applyFont="1" applyBorder="1"/>
    <xf numFmtId="0" fontId="13" fillId="0" borderId="6" xfId="0" applyFont="1" applyBorder="1" applyAlignment="1">
      <alignment horizontal="left" vertical="center"/>
    </xf>
    <xf numFmtId="0" fontId="13" fillId="0" borderId="5" xfId="0" applyFont="1" applyBorder="1" applyAlignment="1">
      <alignment horizontal="left" vertical="center"/>
    </xf>
    <xf numFmtId="0" fontId="13" fillId="0" borderId="11"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vertical="center" wrapText="1"/>
    </xf>
    <xf numFmtId="0" fontId="13" fillId="0" borderId="10" xfId="0" applyFont="1" applyBorder="1" applyAlignment="1">
      <alignment vertical="center" wrapText="1"/>
    </xf>
    <xf numFmtId="0" fontId="13" fillId="19" borderId="8" xfId="0" applyFont="1" applyFill="1" applyBorder="1"/>
    <xf numFmtId="164" fontId="6" fillId="0" borderId="38" xfId="4" applyNumberFormat="1" applyFont="1" applyBorder="1" applyAlignment="1">
      <alignment horizontal="center" vertical="center"/>
    </xf>
    <xf numFmtId="164" fontId="6" fillId="17" borderId="7" xfId="0" applyNumberFormat="1" applyFont="1" applyFill="1" applyBorder="1" applyAlignment="1">
      <alignment vertical="center"/>
    </xf>
    <xf numFmtId="167" fontId="39" fillId="0" borderId="12" xfId="0" applyNumberFormat="1" applyFont="1" applyBorder="1"/>
    <xf numFmtId="164" fontId="6" fillId="0" borderId="28" xfId="0" applyNumberFormat="1" applyFont="1" applyBorder="1" applyAlignment="1">
      <alignment horizontal="center" vertical="center"/>
    </xf>
    <xf numFmtId="164" fontId="6" fillId="17" borderId="7" xfId="0" applyNumberFormat="1" applyFont="1" applyFill="1" applyBorder="1" applyAlignment="1">
      <alignment horizontal="center" vertical="center"/>
    </xf>
    <xf numFmtId="164" fontId="6" fillId="0" borderId="17" xfId="0" applyNumberFormat="1" applyFont="1" applyBorder="1" applyAlignment="1">
      <alignment horizontal="center" vertical="center"/>
    </xf>
    <xf numFmtId="167" fontId="6" fillId="17" borderId="0" xfId="0" applyNumberFormat="1" applyFont="1" applyFill="1" applyAlignment="1">
      <alignment horizontal="center" vertical="center"/>
    </xf>
    <xf numFmtId="164" fontId="6" fillId="17" borderId="0" xfId="0" applyNumberFormat="1" applyFont="1" applyFill="1" applyAlignment="1">
      <alignment horizontal="center" vertical="center"/>
    </xf>
    <xf numFmtId="164" fontId="6" fillId="0" borderId="17" xfId="3" applyNumberFormat="1" applyFont="1" applyBorder="1" applyAlignment="1">
      <alignment horizontal="center" vertical="center"/>
    </xf>
    <xf numFmtId="164" fontId="6" fillId="0" borderId="19" xfId="0" applyNumberFormat="1" applyFont="1" applyBorder="1" applyAlignment="1">
      <alignment vertical="center"/>
    </xf>
    <xf numFmtId="164" fontId="6" fillId="17" borderId="0" xfId="0" applyNumberFormat="1" applyFont="1" applyFill="1" applyAlignment="1">
      <alignment vertical="center"/>
    </xf>
    <xf numFmtId="0" fontId="56" fillId="17" borderId="0" xfId="0" applyFont="1" applyFill="1"/>
    <xf numFmtId="0" fontId="65" fillId="0" borderId="14" xfId="0" applyFont="1" applyBorder="1" applyProtection="1">
      <protection hidden="1"/>
    </xf>
    <xf numFmtId="0" fontId="65" fillId="0" borderId="14" xfId="0" applyFont="1" applyBorder="1" applyAlignment="1" applyProtection="1">
      <alignment horizontal="left"/>
      <protection hidden="1"/>
    </xf>
    <xf numFmtId="0" fontId="6" fillId="0" borderId="3" xfId="0" applyFont="1" applyBorder="1" applyAlignment="1">
      <alignment vertical="center"/>
    </xf>
    <xf numFmtId="0" fontId="6" fillId="0" borderId="4" xfId="0" applyFont="1" applyBorder="1" applyAlignment="1">
      <alignment vertical="center"/>
    </xf>
    <xf numFmtId="167" fontId="6" fillId="0" borderId="3" xfId="0" applyNumberFormat="1" applyFont="1" applyBorder="1" applyAlignment="1">
      <alignment vertical="center"/>
    </xf>
    <xf numFmtId="164" fontId="11" fillId="0" borderId="0" xfId="0" applyNumberFormat="1" applyFont="1" applyProtection="1">
      <protection hidden="1"/>
    </xf>
    <xf numFmtId="0" fontId="1" fillId="0" borderId="14" xfId="0" applyFont="1" applyBorder="1" applyAlignment="1" applyProtection="1">
      <alignment horizontal="center"/>
      <protection hidden="1"/>
    </xf>
    <xf numFmtId="0" fontId="5" fillId="0" borderId="40" xfId="0" applyFont="1" applyBorder="1" applyProtection="1">
      <protection hidden="1"/>
    </xf>
    <xf numFmtId="0" fontId="5" fillId="0" borderId="13" xfId="0" applyFont="1" applyBorder="1" applyProtection="1">
      <protection hidden="1"/>
    </xf>
    <xf numFmtId="164" fontId="1" fillId="18" borderId="20" xfId="0" applyNumberFormat="1" applyFont="1" applyFill="1" applyBorder="1" applyProtection="1">
      <protection locked="0"/>
    </xf>
    <xf numFmtId="167" fontId="1" fillId="0" borderId="0" xfId="0" applyNumberFormat="1" applyFont="1" applyAlignment="1" applyProtection="1">
      <alignment horizontal="center"/>
      <protection hidden="1"/>
    </xf>
    <xf numFmtId="164" fontId="1" fillId="0" borderId="0" xfId="0" applyNumberFormat="1" applyFont="1" applyProtection="1">
      <protection locked="0"/>
    </xf>
    <xf numFmtId="165" fontId="1" fillId="18" borderId="5" xfId="0" applyNumberFormat="1" applyFont="1" applyFill="1" applyBorder="1" applyAlignment="1" applyProtection="1">
      <alignment shrinkToFit="1"/>
      <protection hidden="1"/>
    </xf>
    <xf numFmtId="0" fontId="1" fillId="18" borderId="2" xfId="0" applyFont="1" applyFill="1" applyBorder="1" applyAlignment="1" applyProtection="1">
      <alignment horizontal="centerContinuous" vertical="center" wrapText="1"/>
      <protection hidden="1"/>
    </xf>
    <xf numFmtId="0" fontId="1" fillId="18" borderId="3" xfId="0" applyFont="1" applyFill="1" applyBorder="1" applyAlignment="1" applyProtection="1">
      <alignment horizontal="centerContinuous" vertical="center"/>
      <protection hidden="1"/>
    </xf>
    <xf numFmtId="0" fontId="1" fillId="18" borderId="4" xfId="0" applyFont="1" applyFill="1" applyBorder="1" applyAlignment="1" applyProtection="1">
      <alignment horizontal="centerContinuous" vertical="center"/>
      <protection hidden="1"/>
    </xf>
    <xf numFmtId="0" fontId="1" fillId="0" borderId="2" xfId="0" applyFont="1" applyBorder="1" applyAlignment="1" applyProtection="1">
      <alignment horizontal="centerContinuous" vertical="center" wrapText="1"/>
      <protection hidden="1"/>
    </xf>
    <xf numFmtId="0" fontId="0" fillId="0" borderId="11" xfId="0" applyBorder="1" applyAlignment="1" applyProtection="1">
      <alignment horizontal="centerContinuous" vertical="center"/>
      <protection hidden="1"/>
    </xf>
    <xf numFmtId="0" fontId="30" fillId="0" borderId="6" xfId="0" applyFont="1" applyBorder="1" applyAlignment="1" applyProtection="1">
      <alignment horizontal="centerContinuous" vertical="center"/>
      <protection hidden="1"/>
    </xf>
    <xf numFmtId="0" fontId="30" fillId="0" borderId="5" xfId="0" applyFont="1" applyBorder="1" applyAlignment="1" applyProtection="1">
      <alignment horizontal="centerContinuous" vertical="center"/>
      <protection hidden="1"/>
    </xf>
    <xf numFmtId="0" fontId="30" fillId="0" borderId="11" xfId="0" applyFont="1" applyBorder="1" applyAlignment="1" applyProtection="1">
      <alignment horizontal="centerContinuous" vertical="center"/>
      <protection hidden="1"/>
    </xf>
    <xf numFmtId="0" fontId="28" fillId="0" borderId="9" xfId="0" applyFont="1" applyBorder="1" applyAlignment="1" applyProtection="1">
      <alignment horizontal="centerContinuous" vertical="center"/>
      <protection hidden="1"/>
    </xf>
    <xf numFmtId="0" fontId="28" fillId="0" borderId="10" xfId="0" applyFont="1" applyBorder="1" applyAlignment="1" applyProtection="1">
      <alignment horizontal="centerContinuous" vertical="center"/>
      <protection hidden="1"/>
    </xf>
    <xf numFmtId="0" fontId="28" fillId="0" borderId="12" xfId="0" applyFont="1" applyBorder="1" applyAlignment="1" applyProtection="1">
      <alignment horizontal="centerContinuous" vertical="center"/>
      <protection hidden="1"/>
    </xf>
    <xf numFmtId="9" fontId="50" fillId="0" borderId="0" xfId="9" applyFont="1" applyAlignment="1" applyProtection="1">
      <alignment horizontal="left" vertical="center"/>
      <protection hidden="1"/>
    </xf>
    <xf numFmtId="0" fontId="13" fillId="18" borderId="5" xfId="0" applyFont="1" applyFill="1" applyBorder="1" applyAlignment="1">
      <alignment shrinkToFit="1"/>
    </xf>
    <xf numFmtId="0" fontId="13" fillId="18" borderId="11" xfId="0" applyFont="1" applyFill="1" applyBorder="1" applyAlignment="1">
      <alignment shrinkToFit="1"/>
    </xf>
    <xf numFmtId="0" fontId="13" fillId="0" borderId="0" xfId="0" applyFont="1" applyAlignment="1" applyProtection="1">
      <alignment vertical="center" shrinkToFit="1"/>
      <protection hidden="1"/>
    </xf>
    <xf numFmtId="0" fontId="13" fillId="0" borderId="5" xfId="0" applyFont="1" applyBorder="1" applyAlignment="1" applyProtection="1">
      <alignment shrinkToFit="1"/>
      <protection hidden="1"/>
    </xf>
    <xf numFmtId="0" fontId="0" fillId="6" borderId="42" xfId="0" applyFill="1" applyBorder="1" applyAlignment="1" applyProtection="1">
      <alignment horizontal="center" shrinkToFit="1"/>
      <protection locked="0" hidden="1"/>
    </xf>
    <xf numFmtId="164" fontId="12" fillId="17" borderId="3" xfId="0" applyNumberFormat="1" applyFont="1" applyFill="1" applyBorder="1" applyAlignment="1" applyProtection="1">
      <alignment horizontal="centerContinuous" vertical="center" wrapText="1"/>
      <protection hidden="1"/>
    </xf>
    <xf numFmtId="167" fontId="17" fillId="0" borderId="0" xfId="0" applyNumberFormat="1" applyFont="1" applyAlignment="1" applyProtection="1">
      <alignment horizontal="left"/>
      <protection hidden="1"/>
    </xf>
    <xf numFmtId="164" fontId="1" fillId="6" borderId="21" xfId="0" applyNumberFormat="1" applyFont="1" applyFill="1" applyBorder="1" applyAlignment="1" applyProtection="1">
      <alignment vertical="center" shrinkToFit="1"/>
      <protection locked="0"/>
    </xf>
    <xf numFmtId="0" fontId="5" fillId="0" borderId="7" xfId="0" applyFont="1" applyBorder="1" applyAlignment="1" applyProtection="1">
      <alignment horizontal="center" vertical="center"/>
      <protection hidden="1"/>
    </xf>
    <xf numFmtId="0" fontId="49" fillId="0" borderId="9" xfId="0" applyFont="1" applyBorder="1" applyAlignment="1" applyProtection="1">
      <alignment horizontal="center"/>
      <protection hidden="1"/>
    </xf>
    <xf numFmtId="14" fontId="0" fillId="0" borderId="10" xfId="0" applyNumberFormat="1" applyBorder="1" applyAlignment="1" applyProtection="1">
      <alignment horizontal="center"/>
      <protection hidden="1"/>
    </xf>
    <xf numFmtId="0" fontId="0" fillId="20" borderId="10" xfId="0" applyFill="1" applyBorder="1" applyProtection="1">
      <protection hidden="1"/>
    </xf>
    <xf numFmtId="164" fontId="1" fillId="6" borderId="56" xfId="0" applyNumberFormat="1" applyFont="1" applyFill="1" applyBorder="1" applyAlignment="1" applyProtection="1">
      <alignment horizontal="center" shrinkToFit="1"/>
      <protection locked="0" hidden="1"/>
    </xf>
    <xf numFmtId="0" fontId="1" fillId="20" borderId="6" xfId="0" applyFont="1" applyFill="1" applyBorder="1" applyAlignment="1" applyProtection="1">
      <alignment horizontal="centerContinuous" vertical="center"/>
      <protection hidden="1"/>
    </xf>
    <xf numFmtId="0" fontId="1" fillId="20" borderId="5" xfId="0" applyFont="1" applyFill="1" applyBorder="1" applyAlignment="1" applyProtection="1">
      <alignment horizontal="centerContinuous"/>
      <protection hidden="1"/>
    </xf>
    <xf numFmtId="0" fontId="0" fillId="20" borderId="5" xfId="0" applyFill="1" applyBorder="1" applyAlignment="1" applyProtection="1">
      <alignment horizontal="centerContinuous"/>
      <protection hidden="1"/>
    </xf>
    <xf numFmtId="0" fontId="0" fillId="20" borderId="11" xfId="0" applyFill="1" applyBorder="1" applyAlignment="1" applyProtection="1">
      <alignment horizontal="centerContinuous"/>
      <protection hidden="1"/>
    </xf>
    <xf numFmtId="167" fontId="0" fillId="0" borderId="12" xfId="0" applyNumberFormat="1" applyBorder="1" applyProtection="1">
      <protection hidden="1"/>
    </xf>
    <xf numFmtId="0" fontId="1" fillId="20" borderId="9" xfId="0" applyFont="1" applyFill="1" applyBorder="1" applyProtection="1">
      <protection hidden="1"/>
    </xf>
    <xf numFmtId="0" fontId="0" fillId="6" borderId="38" xfId="0" applyFill="1" applyBorder="1" applyAlignment="1" applyProtection="1">
      <alignment shrinkToFit="1"/>
      <protection locked="0" hidden="1"/>
    </xf>
    <xf numFmtId="172" fontId="0" fillId="6" borderId="46" xfId="0" applyNumberFormat="1" applyFill="1" applyBorder="1" applyAlignment="1" applyProtection="1">
      <alignment shrinkToFit="1"/>
      <protection locked="0" hidden="1"/>
    </xf>
    <xf numFmtId="0" fontId="0" fillId="6" borderId="60" xfId="0" applyFill="1" applyBorder="1" applyAlignment="1" applyProtection="1">
      <alignment shrinkToFit="1"/>
      <protection locked="0" hidden="1"/>
    </xf>
    <xf numFmtId="173" fontId="0" fillId="6" borderId="76" xfId="0" applyNumberFormat="1" applyFill="1" applyBorder="1" applyAlignment="1" applyProtection="1">
      <alignment shrinkToFit="1"/>
      <protection locked="0" hidden="1"/>
    </xf>
    <xf numFmtId="0" fontId="0" fillId="6" borderId="76" xfId="0" applyFill="1" applyBorder="1" applyAlignment="1" applyProtection="1">
      <alignment shrinkToFit="1"/>
      <protection locked="0" hidden="1"/>
    </xf>
    <xf numFmtId="164" fontId="0" fillId="6" borderId="76" xfId="0" applyNumberFormat="1" applyFill="1" applyBorder="1" applyProtection="1">
      <protection locked="0" hidden="1"/>
    </xf>
    <xf numFmtId="0" fontId="0" fillId="6" borderId="31" xfId="0" applyFill="1" applyBorder="1" applyAlignment="1" applyProtection="1">
      <alignment shrinkToFit="1"/>
      <protection locked="0" hidden="1"/>
    </xf>
    <xf numFmtId="172" fontId="0" fillId="6" borderId="12" xfId="0" applyNumberFormat="1" applyFill="1" applyBorder="1" applyAlignment="1" applyProtection="1">
      <alignment shrinkToFit="1"/>
      <protection locked="0" hidden="1"/>
    </xf>
    <xf numFmtId="0" fontId="0" fillId="6" borderId="9" xfId="0" applyFill="1" applyBorder="1" applyAlignment="1" applyProtection="1">
      <alignment shrinkToFit="1"/>
      <protection locked="0" hidden="1"/>
    </xf>
    <xf numFmtId="173" fontId="0" fillId="6" borderId="15" xfId="0" applyNumberFormat="1" applyFill="1" applyBorder="1" applyAlignment="1" applyProtection="1">
      <alignment shrinkToFit="1"/>
      <protection locked="0" hidden="1"/>
    </xf>
    <xf numFmtId="0" fontId="0" fillId="6" borderId="15" xfId="0" applyFill="1" applyBorder="1" applyAlignment="1" applyProtection="1">
      <alignment shrinkToFit="1"/>
      <protection locked="0" hidden="1"/>
    </xf>
    <xf numFmtId="164" fontId="0" fillId="6" borderId="15" xfId="0" applyNumberFormat="1" applyFill="1" applyBorder="1" applyProtection="1">
      <protection locked="0" hidden="1"/>
    </xf>
    <xf numFmtId="0" fontId="46" fillId="0" borderId="0" xfId="0" applyFont="1" applyAlignment="1" applyProtection="1">
      <alignment horizontal="center"/>
      <protection hidden="1"/>
    </xf>
    <xf numFmtId="0" fontId="22" fillId="6" borderId="0" xfId="0" applyFont="1" applyFill="1"/>
    <xf numFmtId="0" fontId="64" fillId="6" borderId="0" xfId="0" applyFont="1" applyFill="1"/>
    <xf numFmtId="0" fontId="22" fillId="6" borderId="88" xfId="0" applyFont="1" applyFill="1" applyBorder="1"/>
    <xf numFmtId="0" fontId="22" fillId="6" borderId="89" xfId="0" applyFont="1" applyFill="1" applyBorder="1"/>
    <xf numFmtId="0" fontId="22" fillId="6" borderId="90" xfId="0" applyFont="1" applyFill="1" applyBorder="1"/>
    <xf numFmtId="0" fontId="22" fillId="6" borderId="91" xfId="0" applyFont="1" applyFill="1" applyBorder="1"/>
    <xf numFmtId="0" fontId="23" fillId="6" borderId="92" xfId="0" applyFont="1" applyFill="1" applyBorder="1"/>
    <xf numFmtId="0" fontId="23" fillId="6" borderId="91" xfId="0" applyFont="1" applyFill="1" applyBorder="1" applyAlignment="1">
      <alignment horizontal="center"/>
    </xf>
    <xf numFmtId="0" fontId="23" fillId="6" borderId="92" xfId="0" applyFont="1" applyFill="1" applyBorder="1" applyAlignment="1">
      <alignment horizontal="center"/>
    </xf>
    <xf numFmtId="0" fontId="22" fillId="6" borderId="92" xfId="0" applyFont="1" applyFill="1" applyBorder="1" applyAlignment="1">
      <alignment vertical="center" wrapText="1"/>
    </xf>
    <xf numFmtId="0" fontId="22" fillId="6" borderId="91" xfId="0" applyFont="1" applyFill="1" applyBorder="1" applyAlignment="1">
      <alignment vertical="center" wrapText="1"/>
    </xf>
    <xf numFmtId="0" fontId="22" fillId="6" borderId="92" xfId="0" applyFont="1" applyFill="1" applyBorder="1"/>
    <xf numFmtId="0" fontId="64" fillId="6" borderId="92" xfId="0" applyFont="1" applyFill="1" applyBorder="1"/>
    <xf numFmtId="0" fontId="22" fillId="6" borderId="93" xfId="0" applyFont="1" applyFill="1" applyBorder="1"/>
    <xf numFmtId="0" fontId="22" fillId="6" borderId="94" xfId="0" applyFont="1" applyFill="1" applyBorder="1"/>
    <xf numFmtId="17" fontId="79" fillId="6" borderId="94" xfId="0" applyNumberFormat="1" applyFont="1" applyFill="1" applyBorder="1"/>
    <xf numFmtId="0" fontId="79" fillId="6" borderId="95" xfId="0" applyFont="1" applyFill="1" applyBorder="1" applyAlignment="1">
      <alignment horizontal="right"/>
    </xf>
    <xf numFmtId="164" fontId="0" fillId="6" borderId="56" xfId="0" applyNumberFormat="1" applyFill="1" applyBorder="1" applyProtection="1">
      <protection locked="0" hidden="1"/>
    </xf>
    <xf numFmtId="44" fontId="6" fillId="6" borderId="2" xfId="0" applyNumberFormat="1" applyFont="1" applyFill="1" applyBorder="1" applyAlignment="1">
      <alignment horizontal="left" vertical="center"/>
    </xf>
    <xf numFmtId="44" fontId="6" fillId="6" borderId="3" xfId="0" applyNumberFormat="1" applyFont="1" applyFill="1" applyBorder="1" applyAlignment="1">
      <alignment vertical="center"/>
    </xf>
    <xf numFmtId="0" fontId="1" fillId="6" borderId="3" xfId="0" applyFont="1" applyFill="1" applyBorder="1"/>
    <xf numFmtId="164" fontId="6" fillId="6" borderId="4" xfId="0" quotePrefix="1" applyNumberFormat="1" applyFont="1" applyFill="1" applyBorder="1" applyAlignment="1">
      <alignment vertical="center" shrinkToFit="1"/>
    </xf>
    <xf numFmtId="167" fontId="73" fillId="17" borderId="0" xfId="0" applyNumberFormat="1" applyFont="1" applyFill="1" applyProtection="1">
      <protection hidden="1"/>
    </xf>
    <xf numFmtId="167" fontId="74" fillId="17" borderId="0" xfId="0" applyNumberFormat="1" applyFont="1" applyFill="1" applyProtection="1">
      <protection hidden="1"/>
    </xf>
    <xf numFmtId="167" fontId="76" fillId="17" borderId="0" xfId="0" applyNumberFormat="1" applyFont="1" applyFill="1" applyProtection="1">
      <protection hidden="1"/>
    </xf>
    <xf numFmtId="167" fontId="75" fillId="17" borderId="0" xfId="0" applyNumberFormat="1" applyFont="1" applyFill="1" applyProtection="1">
      <protection hidden="1"/>
    </xf>
    <xf numFmtId="167" fontId="77" fillId="17" borderId="7" xfId="0" applyNumberFormat="1" applyFont="1" applyFill="1" applyBorder="1" applyAlignment="1" applyProtection="1">
      <alignment vertical="center" textRotation="255"/>
      <protection hidden="1"/>
    </xf>
    <xf numFmtId="167" fontId="0" fillId="17" borderId="0" xfId="0" applyNumberFormat="1" applyFill="1"/>
    <xf numFmtId="167" fontId="78" fillId="17" borderId="0" xfId="0" applyNumberFormat="1" applyFont="1" applyFill="1" applyProtection="1">
      <protection hidden="1"/>
    </xf>
    <xf numFmtId="167" fontId="56" fillId="17" borderId="0" xfId="0" applyNumberFormat="1" applyFont="1" applyFill="1" applyAlignment="1" applyProtection="1">
      <alignment horizontal="center" vertical="center"/>
      <protection hidden="1"/>
    </xf>
    <xf numFmtId="167" fontId="1" fillId="17" borderId="0" xfId="0" applyNumberFormat="1" applyFont="1" applyFill="1" applyAlignment="1" applyProtection="1">
      <alignment vertical="center"/>
      <protection hidden="1"/>
    </xf>
    <xf numFmtId="167" fontId="56" fillId="17" borderId="7" xfId="0" applyNumberFormat="1" applyFont="1" applyFill="1" applyBorder="1" applyAlignment="1" applyProtection="1">
      <alignment vertical="center" textRotation="255"/>
      <protection hidden="1"/>
    </xf>
    <xf numFmtId="167" fontId="56" fillId="17" borderId="0" xfId="0" applyNumberFormat="1" applyFont="1" applyFill="1" applyAlignment="1" applyProtection="1">
      <alignment horizontal="right" vertical="center"/>
      <protection hidden="1"/>
    </xf>
    <xf numFmtId="167" fontId="56" fillId="17" borderId="0" xfId="0" applyNumberFormat="1" applyFont="1" applyFill="1" applyAlignment="1" applyProtection="1">
      <alignment vertical="center" textRotation="255"/>
      <protection hidden="1"/>
    </xf>
    <xf numFmtId="167" fontId="56" fillId="17" borderId="0" xfId="0" applyNumberFormat="1" applyFont="1" applyFill="1" applyAlignment="1" applyProtection="1">
      <alignment vertical="center"/>
      <protection hidden="1"/>
    </xf>
    <xf numFmtId="167" fontId="1" fillId="17" borderId="0" xfId="0" applyNumberFormat="1" applyFont="1" applyFill="1" applyAlignment="1" applyProtection="1">
      <alignment horizontal="center" vertical="center"/>
      <protection hidden="1"/>
    </xf>
    <xf numFmtId="167" fontId="1" fillId="17" borderId="0" xfId="0" applyNumberFormat="1" applyFont="1" applyFill="1" applyAlignment="1" applyProtection="1">
      <alignment horizontal="center"/>
      <protection hidden="1"/>
    </xf>
    <xf numFmtId="167" fontId="56" fillId="17" borderId="7" xfId="0" applyNumberFormat="1" applyFont="1" applyFill="1" applyBorder="1" applyAlignment="1" applyProtection="1">
      <alignment vertical="center"/>
      <protection hidden="1"/>
    </xf>
    <xf numFmtId="167" fontId="1" fillId="20" borderId="4" xfId="0" applyNumberFormat="1" applyFont="1" applyFill="1" applyBorder="1" applyAlignment="1" applyProtection="1">
      <alignment horizontal="centerContinuous" vertical="center"/>
      <protection hidden="1"/>
    </xf>
    <xf numFmtId="167" fontId="52" fillId="17" borderId="0" xfId="0" applyNumberFormat="1" applyFont="1" applyFill="1"/>
    <xf numFmtId="0" fontId="1" fillId="20" borderId="4" xfId="0" applyFont="1" applyFill="1" applyBorder="1" applyAlignment="1" applyProtection="1">
      <alignment horizontal="centerContinuous"/>
      <protection hidden="1"/>
    </xf>
    <xf numFmtId="0" fontId="1" fillId="20" borderId="9" xfId="0" applyFont="1" applyFill="1" applyBorder="1" applyAlignment="1" applyProtection="1">
      <alignment horizontal="centerContinuous"/>
      <protection hidden="1"/>
    </xf>
    <xf numFmtId="14" fontId="0" fillId="20" borderId="10" xfId="0" applyNumberFormat="1" applyFill="1" applyBorder="1" applyAlignment="1" applyProtection="1">
      <alignment horizontal="centerContinuous"/>
      <protection hidden="1"/>
    </xf>
    <xf numFmtId="0" fontId="0" fillId="20" borderId="10" xfId="0" applyFill="1" applyBorder="1" applyAlignment="1" applyProtection="1">
      <alignment horizontal="centerContinuous"/>
      <protection hidden="1"/>
    </xf>
    <xf numFmtId="0" fontId="1" fillId="6" borderId="20" xfId="0" applyFont="1" applyFill="1" applyBorder="1" applyAlignment="1">
      <alignment horizontal="center" vertical="center"/>
    </xf>
    <xf numFmtId="0" fontId="1" fillId="6" borderId="13" xfId="0" applyFont="1" applyFill="1" applyBorder="1" applyAlignment="1">
      <alignment horizontal="left" vertical="center"/>
    </xf>
    <xf numFmtId="0" fontId="1" fillId="6" borderId="14" xfId="0" applyFont="1" applyFill="1" applyBorder="1" applyAlignment="1">
      <alignment horizontal="left" vertical="center"/>
    </xf>
    <xf numFmtId="164" fontId="1" fillId="6" borderId="20" xfId="0" applyNumberFormat="1" applyFont="1" applyFill="1" applyBorder="1" applyAlignment="1">
      <alignment vertical="center" shrinkToFit="1"/>
    </xf>
    <xf numFmtId="0" fontId="1" fillId="6" borderId="42" xfId="0" applyFont="1" applyFill="1" applyBorder="1" applyAlignment="1">
      <alignment horizontal="left" vertical="center"/>
    </xf>
    <xf numFmtId="164" fontId="1" fillId="6" borderId="21" xfId="0" applyNumberFormat="1" applyFont="1" applyFill="1" applyBorder="1" applyAlignment="1">
      <alignment vertical="center" shrinkToFit="1"/>
    </xf>
    <xf numFmtId="9" fontId="1" fillId="6" borderId="20" xfId="0" applyNumberFormat="1" applyFont="1" applyFill="1" applyBorder="1" applyAlignment="1">
      <alignment horizontal="center" vertical="center"/>
    </xf>
    <xf numFmtId="0" fontId="22" fillId="6" borderId="0" xfId="0" applyFont="1" applyFill="1" applyAlignment="1">
      <alignment horizontal="center" vertical="center"/>
    </xf>
    <xf numFmtId="0" fontId="25" fillId="19" borderId="77" xfId="0" applyFont="1" applyFill="1" applyBorder="1" applyAlignment="1">
      <alignment horizontal="center"/>
    </xf>
    <xf numFmtId="0" fontId="25" fillId="19" borderId="78" xfId="0" applyFont="1" applyFill="1" applyBorder="1" applyAlignment="1">
      <alignment horizontal="center"/>
    </xf>
    <xf numFmtId="0" fontId="25" fillId="19" borderId="79" xfId="0" applyFont="1" applyFill="1" applyBorder="1" applyAlignment="1">
      <alignment horizontal="center"/>
    </xf>
    <xf numFmtId="0" fontId="25" fillId="19" borderId="80" xfId="0" applyFont="1" applyFill="1" applyBorder="1" applyAlignment="1">
      <alignment horizontal="center"/>
    </xf>
    <xf numFmtId="0" fontId="25" fillId="19" borderId="10" xfId="0" applyFont="1" applyFill="1" applyBorder="1" applyAlignment="1">
      <alignment horizontal="center"/>
    </xf>
    <xf numFmtId="0" fontId="25" fillId="19" borderId="81" xfId="0" applyFont="1" applyFill="1" applyBorder="1" applyAlignment="1">
      <alignment horizontal="center"/>
    </xf>
    <xf numFmtId="0" fontId="5" fillId="18" borderId="82" xfId="0" applyFont="1" applyFill="1" applyBorder="1" applyAlignment="1">
      <alignment horizontal="center" vertical="center" wrapText="1"/>
    </xf>
    <xf numFmtId="0" fontId="24" fillId="18" borderId="5" xfId="0" applyFont="1" applyFill="1" applyBorder="1" applyAlignment="1">
      <alignment horizontal="center" vertical="center" wrapText="1"/>
    </xf>
    <xf numFmtId="0" fontId="24" fillId="18" borderId="83" xfId="0" applyFont="1" applyFill="1" applyBorder="1" applyAlignment="1">
      <alignment horizontal="center" vertical="center" wrapText="1"/>
    </xf>
    <xf numFmtId="0" fontId="24" fillId="18" borderId="84" xfId="0" applyFont="1" applyFill="1" applyBorder="1" applyAlignment="1">
      <alignment horizontal="center" vertical="center" wrapText="1"/>
    </xf>
    <xf numFmtId="0" fontId="24" fillId="18" borderId="85" xfId="0" applyFont="1" applyFill="1" applyBorder="1" applyAlignment="1">
      <alignment horizontal="center" vertical="center" wrapText="1"/>
    </xf>
    <xf numFmtId="0" fontId="24" fillId="18" borderId="86" xfId="0" applyFont="1" applyFill="1" applyBorder="1" applyAlignment="1">
      <alignment horizontal="center" vertical="center" wrapText="1"/>
    </xf>
    <xf numFmtId="0" fontId="0" fillId="0" borderId="10" xfId="0" applyBorder="1" applyAlignment="1">
      <alignment horizontal="center"/>
    </xf>
    <xf numFmtId="39" fontId="0" fillId="0" borderId="10" xfId="1" applyNumberFormat="1" applyFont="1" applyBorder="1" applyAlignment="1" applyProtection="1">
      <alignment horizontal="left"/>
    </xf>
    <xf numFmtId="0" fontId="0" fillId="0" borderId="3" xfId="0" applyBorder="1" applyAlignment="1" applyProtection="1">
      <alignment horizontal="center"/>
      <protection locked="0"/>
    </xf>
    <xf numFmtId="0" fontId="0" fillId="0" borderId="10" xfId="0" applyBorder="1" applyAlignment="1" applyProtection="1">
      <alignment horizontal="center"/>
      <protection locked="0"/>
    </xf>
    <xf numFmtId="4" fontId="0" fillId="0" borderId="10" xfId="0" applyNumberFormat="1" applyBorder="1" applyAlignment="1">
      <alignment horizontal="left"/>
    </xf>
    <xf numFmtId="0" fontId="6" fillId="0" borderId="0" xfId="0" applyFont="1" applyAlignment="1">
      <alignment horizontal="left"/>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6"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9"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13" fillId="0" borderId="10"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56" fillId="20" borderId="2" xfId="0" applyFont="1" applyFill="1" applyBorder="1" applyAlignment="1">
      <alignment horizontal="center"/>
    </xf>
    <xf numFmtId="0" fontId="56" fillId="20" borderId="4" xfId="0" applyFont="1" applyFill="1" applyBorder="1" applyAlignment="1">
      <alignment horizontal="center"/>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18" borderId="6" xfId="0" applyFont="1" applyFill="1" applyBorder="1" applyAlignment="1">
      <alignment horizontal="left"/>
    </xf>
    <xf numFmtId="0" fontId="13" fillId="18" borderId="5" xfId="0" applyFont="1" applyFill="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58" fillId="0" borderId="3" xfId="8" applyFill="1" applyBorder="1" applyAlignment="1" applyProtection="1">
      <alignment horizontal="center" shrinkToFit="1"/>
      <protection locked="0"/>
    </xf>
    <xf numFmtId="0" fontId="13" fillId="0" borderId="3" xfId="0" applyFont="1" applyBorder="1" applyAlignment="1" applyProtection="1">
      <alignment horizontal="center" shrinkToFit="1"/>
      <protection locked="0"/>
    </xf>
    <xf numFmtId="0" fontId="13" fillId="0" borderId="4" xfId="0" applyFont="1" applyBorder="1" applyAlignment="1" applyProtection="1">
      <alignment horizontal="center" shrinkToFit="1"/>
      <protection locked="0"/>
    </xf>
    <xf numFmtId="0" fontId="10" fillId="20" borderId="2" xfId="0" applyFont="1" applyFill="1" applyBorder="1" applyAlignment="1">
      <alignment horizontal="center" vertical="center"/>
    </xf>
    <xf numFmtId="0" fontId="10" fillId="20" borderId="3" xfId="0" applyFont="1" applyFill="1" applyBorder="1" applyAlignment="1">
      <alignment horizontal="center" vertical="center"/>
    </xf>
    <xf numFmtId="0" fontId="10" fillId="20" borderId="4" xfId="0" applyFont="1" applyFill="1" applyBorder="1" applyAlignment="1">
      <alignment horizontal="center" vertical="center"/>
    </xf>
    <xf numFmtId="0" fontId="56" fillId="18" borderId="2" xfId="0" applyFont="1" applyFill="1" applyBorder="1" applyAlignment="1">
      <alignment horizontal="center" vertical="center"/>
    </xf>
    <xf numFmtId="0" fontId="56" fillId="18" borderId="3" xfId="0" applyFont="1" applyFill="1" applyBorder="1" applyAlignment="1">
      <alignment horizontal="center" vertical="center"/>
    </xf>
    <xf numFmtId="0" fontId="56" fillId="20" borderId="3" xfId="0" applyFont="1" applyFill="1" applyBorder="1" applyAlignment="1">
      <alignment horizontal="center"/>
    </xf>
    <xf numFmtId="0" fontId="56" fillId="20" borderId="5" xfId="0" applyFont="1" applyFill="1" applyBorder="1" applyAlignment="1">
      <alignment horizontal="center"/>
    </xf>
    <xf numFmtId="0" fontId="56" fillId="20" borderId="11" xfId="0" applyFont="1" applyFill="1" applyBorder="1" applyAlignment="1">
      <alignment horizontal="center"/>
    </xf>
    <xf numFmtId="0" fontId="56" fillId="18" borderId="4" xfId="0" applyFont="1" applyFill="1" applyBorder="1" applyAlignment="1">
      <alignment horizontal="center" vertical="center"/>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2" fillId="0" borderId="0" xfId="0" applyFont="1" applyAlignment="1">
      <alignment horizontal="center"/>
    </xf>
    <xf numFmtId="0" fontId="10" fillId="0" borderId="0" xfId="0" applyFont="1" applyAlignment="1">
      <alignment horizontal="center"/>
    </xf>
    <xf numFmtId="0" fontId="6" fillId="0" borderId="10" xfId="0" applyFont="1" applyBorder="1" applyAlignment="1">
      <alignment horizontal="left"/>
    </xf>
    <xf numFmtId="0" fontId="13" fillId="0" borderId="6" xfId="0" applyFont="1" applyBorder="1" applyAlignment="1">
      <alignment horizontal="left"/>
    </xf>
    <xf numFmtId="0" fontId="13" fillId="0" borderId="5" xfId="0" applyFont="1" applyBorder="1" applyAlignment="1">
      <alignment horizontal="left"/>
    </xf>
    <xf numFmtId="0" fontId="13" fillId="0" borderId="11" xfId="0" applyFont="1" applyBorder="1" applyAlignment="1">
      <alignment horizontal="left"/>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14" fontId="3" fillId="0" borderId="6" xfId="0" applyNumberFormat="1"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6" xfId="0" applyFont="1" applyBorder="1" applyAlignment="1" applyProtection="1">
      <alignment horizontal="center" shrinkToFit="1"/>
      <protection locked="0"/>
    </xf>
    <xf numFmtId="0" fontId="3" fillId="0" borderId="5" xfId="0" applyFont="1" applyBorder="1" applyAlignment="1" applyProtection="1">
      <alignment horizontal="center" shrinkToFit="1"/>
      <protection locked="0"/>
    </xf>
    <xf numFmtId="0" fontId="3" fillId="0" borderId="11" xfId="0" applyFont="1" applyBorder="1" applyAlignment="1" applyProtection="1">
      <alignment horizontal="center" shrinkToFit="1"/>
      <protection locked="0"/>
    </xf>
    <xf numFmtId="0" fontId="13" fillId="0" borderId="9" xfId="0" applyFont="1" applyBorder="1" applyAlignment="1">
      <alignment horizontal="left"/>
    </xf>
    <xf numFmtId="0" fontId="13" fillId="0" borderId="10" xfId="0" applyFont="1" applyBorder="1" applyAlignment="1">
      <alignment horizontal="left"/>
    </xf>
    <xf numFmtId="0" fontId="13" fillId="0" borderId="12" xfId="0" applyFont="1" applyBorder="1" applyAlignment="1">
      <alignment horizontal="left"/>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4" fontId="13" fillId="0" borderId="6" xfId="0" applyNumberFormat="1"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4" fontId="13" fillId="0" borderId="6" xfId="0" applyNumberFormat="1" applyFont="1" applyBorder="1" applyAlignment="1" applyProtection="1">
      <alignment horizontal="left" vertical="top"/>
      <protection locked="0"/>
    </xf>
    <xf numFmtId="14" fontId="13" fillId="0" borderId="5" xfId="0" applyNumberFormat="1" applyFont="1" applyBorder="1" applyAlignment="1" applyProtection="1">
      <alignment horizontal="left" vertical="top"/>
      <protection locked="0"/>
    </xf>
    <xf numFmtId="14" fontId="13" fillId="0" borderId="11" xfId="0" applyNumberFormat="1" applyFont="1" applyBorder="1" applyAlignment="1" applyProtection="1">
      <alignment horizontal="left" vertical="top"/>
      <protection locked="0"/>
    </xf>
    <xf numFmtId="14" fontId="13" fillId="0" borderId="9" xfId="0" applyNumberFormat="1" applyFont="1" applyBorder="1" applyAlignment="1" applyProtection="1">
      <alignment horizontal="left" vertical="top"/>
      <protection locked="0"/>
    </xf>
    <xf numFmtId="14" fontId="13" fillId="0" borderId="10" xfId="0" applyNumberFormat="1" applyFont="1" applyBorder="1" applyAlignment="1" applyProtection="1">
      <alignment horizontal="left" vertical="top"/>
      <protection locked="0"/>
    </xf>
    <xf numFmtId="14" fontId="13" fillId="0" borderId="12" xfId="0" applyNumberFormat="1" applyFont="1" applyBorder="1" applyAlignment="1" applyProtection="1">
      <alignment horizontal="left" vertical="top"/>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4" xfId="0" applyFont="1" applyBorder="1" applyAlignment="1">
      <alignment horizontal="left"/>
    </xf>
    <xf numFmtId="0" fontId="6" fillId="0" borderId="9" xfId="0" applyFont="1" applyBorder="1" applyAlignment="1">
      <alignment horizontal="center"/>
    </xf>
    <xf numFmtId="0" fontId="6" fillId="0" borderId="10" xfId="0" applyFont="1" applyBorder="1" applyAlignment="1">
      <alignment horizontal="center"/>
    </xf>
    <xf numFmtId="0" fontId="6" fillId="0" borderId="12" xfId="0" applyFont="1" applyBorder="1" applyAlignment="1">
      <alignment horizontal="center"/>
    </xf>
    <xf numFmtId="0" fontId="13" fillId="0" borderId="2" xfId="0" applyFont="1" applyBorder="1" applyAlignment="1" applyProtection="1">
      <alignment horizontal="center" shrinkToFit="1"/>
      <protection locked="0"/>
    </xf>
    <xf numFmtId="14" fontId="13" fillId="0" borderId="9" xfId="0" applyNumberFormat="1" applyFont="1" applyBorder="1" applyAlignment="1" applyProtection="1">
      <alignment horizontal="center" vertical="center"/>
      <protection locked="0"/>
    </xf>
    <xf numFmtId="14" fontId="58" fillId="0" borderId="2" xfId="8" applyNumberFormat="1" applyFill="1" applyBorder="1" applyAlignment="1" applyProtection="1">
      <alignment horizontal="center" vertical="center"/>
      <protection locked="0"/>
    </xf>
    <xf numFmtId="14" fontId="13" fillId="0" borderId="3" xfId="0" applyNumberFormat="1" applyFont="1" applyBorder="1" applyAlignment="1" applyProtection="1">
      <alignment horizontal="center" vertical="center"/>
      <protection locked="0"/>
    </xf>
    <xf numFmtId="14" fontId="13" fillId="0" borderId="4" xfId="0" applyNumberFormat="1" applyFont="1" applyBorder="1" applyAlignment="1" applyProtection="1">
      <alignment horizontal="center" vertical="center"/>
      <protection locked="0"/>
    </xf>
    <xf numFmtId="0" fontId="27" fillId="0" borderId="3" xfId="0" applyFont="1" applyBorder="1" applyAlignment="1">
      <alignment horizontal="left"/>
    </xf>
    <xf numFmtId="0" fontId="27" fillId="0" borderId="3" xfId="0" applyFont="1" applyBorder="1"/>
    <xf numFmtId="0" fontId="37" fillId="0" borderId="6" xfId="0" applyFont="1" applyBorder="1" applyAlignment="1">
      <alignment horizontal="justify" vertical="center" wrapText="1"/>
    </xf>
    <xf numFmtId="0" fontId="0" fillId="0" borderId="5" xfId="0" applyBorder="1"/>
    <xf numFmtId="0" fontId="0" fillId="0" borderId="11" xfId="0" applyBorder="1"/>
    <xf numFmtId="0" fontId="0" fillId="0" borderId="7" xfId="0" applyBorder="1"/>
    <xf numFmtId="0" fontId="0" fillId="0" borderId="0" xfId="0"/>
    <xf numFmtId="0" fontId="0" fillId="0" borderId="8" xfId="0" applyBorder="1"/>
    <xf numFmtId="0" fontId="0" fillId="0" borderId="9" xfId="0" applyBorder="1"/>
    <xf numFmtId="0" fontId="0" fillId="0" borderId="10" xfId="0" applyBorder="1"/>
    <xf numFmtId="0" fontId="0" fillId="0" borderId="12" xfId="0" applyBorder="1"/>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 xfId="0" applyFont="1" applyBorder="1" applyAlignment="1">
      <alignment horizontal="left" vertical="center" wrapText="1"/>
    </xf>
    <xf numFmtId="0" fontId="13" fillId="0" borderId="6"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164" fontId="13" fillId="0" borderId="6" xfId="0" applyNumberFormat="1" applyFont="1" applyBorder="1" applyAlignment="1" applyProtection="1">
      <alignment horizontal="center" vertical="center"/>
      <protection locked="0"/>
    </xf>
    <xf numFmtId="164" fontId="13" fillId="0" borderId="5" xfId="0" applyNumberFormat="1" applyFont="1" applyBorder="1" applyAlignment="1" applyProtection="1">
      <alignment horizontal="center" vertical="center"/>
      <protection locked="0"/>
    </xf>
    <xf numFmtId="164" fontId="13" fillId="0" borderId="11" xfId="0" applyNumberFormat="1" applyFont="1" applyBorder="1" applyAlignment="1" applyProtection="1">
      <alignment horizontal="center" vertical="center"/>
      <protection locked="0"/>
    </xf>
    <xf numFmtId="164" fontId="13" fillId="0" borderId="7" xfId="0" applyNumberFormat="1" applyFont="1" applyBorder="1" applyAlignment="1" applyProtection="1">
      <alignment horizontal="center" vertical="center"/>
      <protection locked="0"/>
    </xf>
    <xf numFmtId="164" fontId="13" fillId="0" borderId="0" xfId="0" applyNumberFormat="1" applyFont="1" applyAlignment="1" applyProtection="1">
      <alignment horizontal="center" vertical="center"/>
      <protection locked="0"/>
    </xf>
    <xf numFmtId="164" fontId="13" fillId="0" borderId="8" xfId="0" applyNumberFormat="1" applyFont="1" applyBorder="1" applyAlignment="1" applyProtection="1">
      <alignment horizontal="center" vertical="center"/>
      <protection locked="0"/>
    </xf>
    <xf numFmtId="164" fontId="13" fillId="0" borderId="9" xfId="0" applyNumberFormat="1" applyFont="1" applyBorder="1" applyAlignment="1" applyProtection="1">
      <alignment horizontal="center" vertical="center"/>
      <protection locked="0"/>
    </xf>
    <xf numFmtId="164" fontId="13" fillId="0" borderId="10" xfId="0" applyNumberFormat="1" applyFont="1" applyBorder="1" applyAlignment="1" applyProtection="1">
      <alignment horizontal="center" vertical="center"/>
      <protection locked="0"/>
    </xf>
    <xf numFmtId="164" fontId="13" fillId="0" borderId="12" xfId="0" applyNumberFormat="1" applyFont="1" applyBorder="1" applyAlignment="1" applyProtection="1">
      <alignment horizontal="center" vertical="center"/>
      <protection locked="0"/>
    </xf>
    <xf numFmtId="0" fontId="27" fillId="0" borderId="10" xfId="0" applyFont="1" applyBorder="1" applyAlignment="1">
      <alignment horizontal="left"/>
    </xf>
    <xf numFmtId="0" fontId="13" fillId="0" borderId="6" xfId="0" applyFont="1" applyBorder="1" applyAlignment="1">
      <alignment horizontal="left" vertical="center"/>
    </xf>
    <xf numFmtId="0" fontId="13" fillId="0" borderId="5" xfId="0" applyFont="1" applyBorder="1" applyAlignment="1">
      <alignment horizontal="left" vertical="center"/>
    </xf>
    <xf numFmtId="0" fontId="13" fillId="0" borderId="11"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12" xfId="0" applyFont="1" applyBorder="1" applyAlignment="1">
      <alignment horizontal="left" vertical="center"/>
    </xf>
    <xf numFmtId="0" fontId="13" fillId="0" borderId="6"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14" fontId="13" fillId="0" borderId="6"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30" xfId="0" applyFont="1" applyBorder="1" applyAlignment="1">
      <alignment horizontal="center" vertical="center"/>
    </xf>
    <xf numFmtId="0" fontId="6" fillId="0" borderId="40" xfId="0" applyFont="1" applyBorder="1" applyAlignment="1">
      <alignment horizontal="center" vertical="center"/>
    </xf>
    <xf numFmtId="0" fontId="6" fillId="0" borderId="20" xfId="0" applyFont="1" applyBorder="1" applyAlignment="1">
      <alignment horizontal="center" vertical="center"/>
    </xf>
    <xf numFmtId="164" fontId="13" fillId="0" borderId="6" xfId="0" applyNumberFormat="1" applyFont="1" applyBorder="1" applyAlignment="1">
      <alignment horizontal="center" vertical="center"/>
    </xf>
    <xf numFmtId="164" fontId="13" fillId="0" borderId="5" xfId="0" applyNumberFormat="1" applyFont="1" applyBorder="1" applyAlignment="1">
      <alignment horizontal="center" vertical="center"/>
    </xf>
    <xf numFmtId="164" fontId="13" fillId="0" borderId="11" xfId="0" applyNumberFormat="1" applyFont="1" applyBorder="1" applyAlignment="1">
      <alignment horizontal="center" vertical="center"/>
    </xf>
    <xf numFmtId="164" fontId="13" fillId="0" borderId="7" xfId="0" applyNumberFormat="1" applyFont="1" applyBorder="1" applyAlignment="1">
      <alignment horizontal="center" vertical="center"/>
    </xf>
    <xf numFmtId="164" fontId="13" fillId="0" borderId="0" xfId="0" applyNumberFormat="1" applyFont="1" applyAlignment="1">
      <alignment horizontal="center" vertical="center"/>
    </xf>
    <xf numFmtId="164" fontId="13" fillId="0" borderId="8" xfId="0" applyNumberFormat="1" applyFont="1" applyBorder="1" applyAlignment="1">
      <alignment horizontal="center" vertical="center"/>
    </xf>
    <xf numFmtId="164" fontId="13" fillId="0" borderId="9" xfId="0" applyNumberFormat="1" applyFont="1" applyBorder="1" applyAlignment="1">
      <alignment horizontal="center" vertical="center"/>
    </xf>
    <xf numFmtId="164" fontId="13" fillId="0" borderId="10" xfId="0" applyNumberFormat="1" applyFont="1" applyBorder="1" applyAlignment="1">
      <alignment horizontal="center" vertical="center"/>
    </xf>
    <xf numFmtId="164" fontId="13" fillId="0" borderId="12" xfId="0" applyNumberFormat="1" applyFont="1" applyBorder="1" applyAlignment="1">
      <alignment horizontal="center" vertical="center"/>
    </xf>
    <xf numFmtId="9" fontId="13" fillId="0" borderId="6" xfId="0" applyNumberFormat="1" applyFont="1" applyBorder="1" applyAlignment="1">
      <alignment horizontal="center" vertical="center"/>
    </xf>
    <xf numFmtId="9" fontId="13" fillId="0" borderId="5" xfId="0" applyNumberFormat="1" applyFont="1" applyBorder="1" applyAlignment="1">
      <alignment horizontal="center" vertical="center"/>
    </xf>
    <xf numFmtId="9" fontId="13" fillId="0" borderId="11" xfId="0" applyNumberFormat="1" applyFont="1" applyBorder="1" applyAlignment="1">
      <alignment horizontal="center" vertical="center"/>
    </xf>
    <xf numFmtId="9" fontId="13" fillId="0" borderId="9" xfId="0" applyNumberFormat="1" applyFont="1" applyBorder="1" applyAlignment="1">
      <alignment horizontal="center" vertical="center"/>
    </xf>
    <xf numFmtId="9" fontId="13" fillId="0" borderId="10" xfId="0" applyNumberFormat="1" applyFont="1" applyBorder="1" applyAlignment="1">
      <alignment horizontal="center" vertical="center"/>
    </xf>
    <xf numFmtId="9" fontId="13" fillId="0" borderId="12" xfId="0" applyNumberFormat="1" applyFont="1" applyBorder="1" applyAlignment="1">
      <alignment horizontal="center" vertical="center"/>
    </xf>
    <xf numFmtId="0" fontId="13" fillId="17" borderId="5" xfId="0" applyFont="1" applyFill="1" applyBorder="1" applyAlignment="1">
      <alignment horizontal="center"/>
    </xf>
    <xf numFmtId="0" fontId="13" fillId="17" borderId="0" xfId="0" applyFont="1" applyFill="1" applyAlignment="1">
      <alignment horizont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164" fontId="6" fillId="0" borderId="6" xfId="0" applyNumberFormat="1" applyFont="1" applyBorder="1" applyAlignment="1">
      <alignment horizontal="center" vertical="center"/>
    </xf>
    <xf numFmtId="164" fontId="6" fillId="0" borderId="5" xfId="0" applyNumberFormat="1" applyFont="1" applyBorder="1" applyAlignment="1">
      <alignment horizontal="center" vertical="center"/>
    </xf>
    <xf numFmtId="164" fontId="6" fillId="0" borderId="1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6" fillId="0" borderId="12" xfId="0" applyNumberFormat="1" applyFont="1" applyBorder="1" applyAlignment="1">
      <alignment horizontal="center" vertical="center"/>
    </xf>
    <xf numFmtId="0" fontId="13" fillId="0" borderId="7" xfId="0" applyFont="1" applyBorder="1" applyAlignment="1">
      <alignment horizontal="left"/>
    </xf>
    <xf numFmtId="0" fontId="13" fillId="0" borderId="0" xfId="0" applyFont="1" applyAlignment="1">
      <alignment horizontal="left"/>
    </xf>
    <xf numFmtId="164" fontId="6" fillId="0" borderId="7" xfId="0" applyNumberFormat="1" applyFont="1" applyBorder="1" applyAlignment="1" applyProtection="1">
      <alignment horizontal="center" vertical="center"/>
      <protection locked="0"/>
    </xf>
    <xf numFmtId="164" fontId="6" fillId="0" borderId="0" xfId="0" applyNumberFormat="1" applyFont="1" applyAlignment="1" applyProtection="1">
      <alignment horizontal="center" vertical="center"/>
      <protection locked="0"/>
    </xf>
    <xf numFmtId="164" fontId="6" fillId="0" borderId="9" xfId="0" applyNumberFormat="1" applyFont="1" applyBorder="1" applyAlignment="1" applyProtection="1">
      <alignment horizontal="center" vertical="center"/>
      <protection locked="0"/>
    </xf>
    <xf numFmtId="164" fontId="6" fillId="0" borderId="10" xfId="0" applyNumberFormat="1" applyFont="1" applyBorder="1" applyAlignment="1" applyProtection="1">
      <alignment horizontal="center" vertical="center"/>
      <protection locked="0"/>
    </xf>
    <xf numFmtId="164" fontId="6" fillId="0" borderId="6" xfId="0" applyNumberFormat="1" applyFont="1" applyBorder="1" applyAlignment="1" applyProtection="1">
      <alignment horizontal="center" vertical="center"/>
      <protection locked="0"/>
    </xf>
    <xf numFmtId="164" fontId="6" fillId="0" borderId="5" xfId="0" applyNumberFormat="1" applyFont="1" applyBorder="1" applyAlignment="1" applyProtection="1">
      <alignment horizontal="center" vertical="center"/>
      <protection locked="0"/>
    </xf>
    <xf numFmtId="0" fontId="6" fillId="0" borderId="41" xfId="0" applyFont="1" applyBorder="1" applyAlignment="1">
      <alignment horizontal="center" vertical="center"/>
    </xf>
    <xf numFmtId="0" fontId="6" fillId="0" borderId="22" xfId="0" applyFont="1" applyBorder="1" applyAlignment="1">
      <alignment horizontal="center" vertical="center"/>
    </xf>
    <xf numFmtId="0" fontId="6" fillId="0" borderId="57" xfId="0" applyFont="1" applyBorder="1" applyAlignment="1">
      <alignment horizontal="center" vertical="center"/>
    </xf>
    <xf numFmtId="0" fontId="6" fillId="0" borderId="27" xfId="0" applyFont="1" applyBorder="1" applyAlignment="1">
      <alignment horizontal="center" vertical="center"/>
    </xf>
    <xf numFmtId="0" fontId="0" fillId="0" borderId="0" xfId="0" applyAlignment="1">
      <alignment horizontal="center"/>
    </xf>
    <xf numFmtId="0" fontId="5" fillId="4" borderId="71" xfId="0" applyFont="1" applyFill="1" applyBorder="1" applyAlignment="1">
      <alignment horizontal="left"/>
    </xf>
    <xf numFmtId="0" fontId="5" fillId="4" borderId="39" xfId="0" applyFont="1" applyFill="1" applyBorder="1" applyAlignment="1">
      <alignment horizontal="left"/>
    </xf>
    <xf numFmtId="0" fontId="0" fillId="0" borderId="54" xfId="0" applyBorder="1" applyAlignment="1">
      <alignment horizontal="center"/>
    </xf>
    <xf numFmtId="0" fontId="0" fillId="0" borderId="14" xfId="0" applyBorder="1" applyAlignment="1">
      <alignment horizontal="center"/>
    </xf>
    <xf numFmtId="0" fontId="0" fillId="0" borderId="42" xfId="0" applyBorder="1" applyAlignment="1">
      <alignment horizontal="center"/>
    </xf>
    <xf numFmtId="164" fontId="0" fillId="0" borderId="20" xfId="0" applyNumberFormat="1" applyBorder="1" applyAlignment="1">
      <alignment horizontal="center"/>
    </xf>
    <xf numFmtId="164" fontId="0" fillId="0" borderId="0" xfId="0" applyNumberFormat="1" applyAlignment="1">
      <alignment horizontal="center"/>
    </xf>
    <xf numFmtId="0" fontId="0" fillId="0" borderId="13" xfId="0" applyBorder="1" applyAlignment="1">
      <alignment horizontal="center"/>
    </xf>
    <xf numFmtId="164" fontId="0" fillId="0" borderId="2" xfId="0" applyNumberFormat="1" applyBorder="1" applyAlignment="1">
      <alignment horizontal="center"/>
    </xf>
    <xf numFmtId="0" fontId="0" fillId="0" borderId="4" xfId="0" applyBorder="1" applyAlignment="1">
      <alignment horizontal="center"/>
    </xf>
    <xf numFmtId="164" fontId="0" fillId="0" borderId="27" xfId="0" applyNumberFormat="1" applyBorder="1" applyAlignment="1">
      <alignment horizontal="center"/>
    </xf>
    <xf numFmtId="0" fontId="4" fillId="0" borderId="13" xfId="0" applyFont="1" applyBorder="1" applyAlignment="1">
      <alignment horizontal="left"/>
    </xf>
    <xf numFmtId="0" fontId="4" fillId="0" borderId="14" xfId="0" applyFont="1" applyBorder="1" applyAlignment="1">
      <alignment horizontal="left"/>
    </xf>
    <xf numFmtId="0" fontId="4" fillId="0" borderId="25" xfId="0" applyFont="1" applyBorder="1" applyAlignment="1">
      <alignment horizontal="left"/>
    </xf>
    <xf numFmtId="0" fontId="4" fillId="0" borderId="62" xfId="0" applyFont="1" applyBorder="1" applyAlignment="1">
      <alignment horizontal="left"/>
    </xf>
    <xf numFmtId="0" fontId="4" fillId="0" borderId="42" xfId="0" applyFont="1" applyBorder="1" applyAlignment="1">
      <alignment horizontal="left"/>
    </xf>
    <xf numFmtId="164" fontId="0" fillId="0" borderId="21" xfId="0" applyNumberForma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4" borderId="72" xfId="0" applyFont="1" applyFill="1" applyBorder="1" applyAlignment="1">
      <alignment horizontal="left"/>
    </xf>
    <xf numFmtId="164" fontId="1" fillId="0" borderId="27" xfId="0" quotePrefix="1" applyNumberFormat="1" applyFont="1" applyBorder="1" applyAlignment="1">
      <alignment horizontal="center"/>
    </xf>
    <xf numFmtId="0" fontId="0" fillId="0" borderId="37" xfId="0" applyBorder="1" applyAlignment="1">
      <alignment horizontal="center"/>
    </xf>
    <xf numFmtId="0" fontId="0" fillId="0" borderId="63" xfId="0" applyBorder="1" applyAlignment="1">
      <alignment horizontal="center"/>
    </xf>
    <xf numFmtId="0" fontId="4" fillId="0" borderId="70" xfId="0" applyFont="1" applyBorder="1" applyAlignment="1">
      <alignment horizontal="left"/>
    </xf>
    <xf numFmtId="0" fontId="4" fillId="0" borderId="44" xfId="0" applyFont="1" applyBorder="1" applyAlignment="1">
      <alignment horizontal="left"/>
    </xf>
    <xf numFmtId="0" fontId="4" fillId="0" borderId="32" xfId="0" applyFont="1" applyBorder="1" applyAlignment="1">
      <alignment horizontal="left"/>
    </xf>
    <xf numFmtId="0" fontId="14" fillId="0" borderId="13" xfId="0" applyFont="1" applyBorder="1" applyAlignment="1">
      <alignment horizontal="left"/>
    </xf>
    <xf numFmtId="0" fontId="14" fillId="0" borderId="14" xfId="0" applyFont="1" applyBorder="1" applyAlignment="1">
      <alignment horizontal="left"/>
    </xf>
    <xf numFmtId="0" fontId="14" fillId="0" borderId="42" xfId="0" applyFont="1" applyBorder="1" applyAlignment="1">
      <alignment horizontal="left"/>
    </xf>
    <xf numFmtId="164" fontId="1" fillId="0" borderId="20" xfId="0" quotePrefix="1" applyNumberFormat="1" applyFont="1" applyBorder="1" applyAlignment="1">
      <alignment horizontal="center"/>
    </xf>
    <xf numFmtId="164" fontId="1" fillId="0" borderId="21" xfId="0" quotePrefix="1" applyNumberFormat="1" applyFont="1" applyBorder="1" applyAlignment="1">
      <alignment horizontal="center"/>
    </xf>
    <xf numFmtId="0" fontId="6" fillId="0" borderId="0" xfId="0" applyFont="1" applyAlignment="1">
      <alignment horizontal="center"/>
    </xf>
    <xf numFmtId="0" fontId="5" fillId="0" borderId="0" xfId="0" applyFont="1" applyAlignment="1">
      <alignment horizontal="center" wrapText="1"/>
    </xf>
    <xf numFmtId="0" fontId="5" fillId="0" borderId="10" xfId="0" applyFont="1" applyBorder="1" applyAlignment="1">
      <alignment horizontal="center" wrapText="1"/>
    </xf>
    <xf numFmtId="0" fontId="3" fillId="0" borderId="0" xfId="0" applyFont="1" applyAlignment="1">
      <alignment horizontal="center"/>
    </xf>
    <xf numFmtId="0" fontId="5" fillId="0" borderId="0" xfId="0" applyFont="1" applyAlignment="1">
      <alignment horizontal="center"/>
    </xf>
    <xf numFmtId="0" fontId="5" fillId="0" borderId="10" xfId="0" applyFont="1" applyBorder="1" applyAlignment="1">
      <alignment horizontal="center"/>
    </xf>
    <xf numFmtId="0" fontId="6" fillId="20" borderId="2" xfId="0" applyFont="1" applyFill="1" applyBorder="1" applyAlignment="1">
      <alignment horizontal="center" vertical="center" wrapText="1"/>
    </xf>
    <xf numFmtId="0" fontId="13" fillId="20" borderId="3" xfId="0" applyFont="1" applyFill="1" applyBorder="1" applyAlignment="1">
      <alignment horizontal="center" vertical="center" wrapText="1"/>
    </xf>
    <xf numFmtId="0" fontId="13" fillId="20" borderId="4" xfId="0" applyFont="1" applyFill="1" applyBorder="1" applyAlignment="1">
      <alignment horizontal="center" vertical="center" wrapText="1"/>
    </xf>
    <xf numFmtId="0" fontId="1" fillId="18" borderId="2" xfId="0" applyFont="1" applyFill="1" applyBorder="1" applyAlignment="1">
      <alignment horizontal="center" vertical="center" wrapText="1"/>
    </xf>
    <xf numFmtId="0" fontId="1" fillId="18" borderId="3" xfId="0" applyFont="1" applyFill="1" applyBorder="1" applyAlignment="1">
      <alignment horizontal="center" vertical="center" wrapText="1"/>
    </xf>
    <xf numFmtId="0" fontId="1" fillId="18" borderId="4" xfId="0" applyFont="1" applyFill="1" applyBorder="1" applyAlignment="1">
      <alignment horizontal="center" vertical="center" wrapText="1"/>
    </xf>
    <xf numFmtId="0" fontId="43" fillId="20" borderId="2" xfId="0" applyFont="1" applyFill="1" applyBorder="1" applyAlignment="1">
      <alignment horizontal="center" vertical="center"/>
    </xf>
    <xf numFmtId="0" fontId="43" fillId="20" borderId="3" xfId="0" applyFont="1" applyFill="1" applyBorder="1" applyAlignment="1">
      <alignment horizontal="center" vertical="center"/>
    </xf>
    <xf numFmtId="0" fontId="43" fillId="20" borderId="4" xfId="0" applyFont="1" applyFill="1" applyBorder="1" applyAlignment="1">
      <alignment horizontal="center" vertical="center"/>
    </xf>
    <xf numFmtId="0" fontId="1" fillId="18" borderId="6" xfId="0" applyFont="1" applyFill="1" applyBorder="1" applyAlignment="1">
      <alignment horizontal="left"/>
    </xf>
    <xf numFmtId="0" fontId="1" fillId="18" borderId="5" xfId="0" applyFont="1" applyFill="1" applyBorder="1" applyAlignment="1">
      <alignment horizontal="left"/>
    </xf>
    <xf numFmtId="0" fontId="36" fillId="18" borderId="7" xfId="0" applyFont="1" applyFill="1" applyBorder="1" applyAlignment="1">
      <alignment horizontal="center"/>
    </xf>
    <xf numFmtId="0" fontId="36" fillId="18" borderId="0" xfId="0" applyFont="1" applyFill="1" applyAlignment="1">
      <alignment horizontal="center"/>
    </xf>
    <xf numFmtId="0" fontId="10" fillId="20" borderId="2" xfId="0" applyFont="1" applyFill="1" applyBorder="1" applyAlignment="1" applyProtection="1">
      <alignment horizontal="center" vertical="center"/>
      <protection hidden="1"/>
    </xf>
    <xf numFmtId="0" fontId="10" fillId="20" borderId="3" xfId="0" applyFont="1" applyFill="1" applyBorder="1" applyAlignment="1" applyProtection="1">
      <alignment horizontal="center" vertical="center"/>
      <protection hidden="1"/>
    </xf>
    <xf numFmtId="0" fontId="10" fillId="20" borderId="4" xfId="0" applyFont="1" applyFill="1" applyBorder="1" applyAlignment="1" applyProtection="1">
      <alignment horizontal="center" vertical="center"/>
      <protection hidden="1"/>
    </xf>
    <xf numFmtId="0" fontId="1" fillId="20" borderId="69" xfId="0" applyFont="1" applyFill="1" applyBorder="1" applyAlignment="1" applyProtection="1">
      <alignment horizontal="center" vertical="center"/>
      <protection hidden="1"/>
    </xf>
    <xf numFmtId="0" fontId="1" fillId="20" borderId="30" xfId="0" applyFont="1" applyFill="1" applyBorder="1" applyAlignment="1" applyProtection="1">
      <alignment horizontal="center" vertical="center"/>
      <protection hidden="1"/>
    </xf>
    <xf numFmtId="0" fontId="1" fillId="20" borderId="70" xfId="0" applyFont="1" applyFill="1" applyBorder="1" applyAlignment="1" applyProtection="1">
      <alignment horizontal="center" vertical="center"/>
      <protection hidden="1"/>
    </xf>
    <xf numFmtId="0" fontId="1" fillId="20" borderId="44" xfId="0" applyFont="1" applyFill="1" applyBorder="1" applyAlignment="1" applyProtection="1">
      <alignment horizontal="center" vertical="center"/>
      <protection hidden="1"/>
    </xf>
    <xf numFmtId="0" fontId="1" fillId="20" borderId="32" xfId="0" applyFont="1" applyFill="1" applyBorder="1" applyAlignment="1" applyProtection="1">
      <alignment horizontal="center" vertical="center"/>
      <protection hidden="1"/>
    </xf>
    <xf numFmtId="0" fontId="6" fillId="0" borderId="0" xfId="0" applyFont="1" applyAlignment="1" applyProtection="1">
      <alignment horizontal="left"/>
      <protection hidden="1"/>
    </xf>
    <xf numFmtId="0" fontId="13" fillId="23" borderId="6" xfId="0" applyFont="1" applyFill="1" applyBorder="1" applyAlignment="1" applyProtection="1">
      <alignment horizontal="center"/>
      <protection hidden="1"/>
    </xf>
    <xf numFmtId="0" fontId="13" fillId="23" borderId="5" xfId="0" applyFont="1" applyFill="1" applyBorder="1" applyAlignment="1" applyProtection="1">
      <alignment horizontal="center"/>
      <protection hidden="1"/>
    </xf>
    <xf numFmtId="0" fontId="13" fillId="23" borderId="11" xfId="0" applyFont="1" applyFill="1" applyBorder="1" applyAlignment="1" applyProtection="1">
      <alignment horizontal="center"/>
      <protection hidden="1"/>
    </xf>
    <xf numFmtId="0" fontId="13" fillId="0" borderId="3" xfId="0" applyFont="1" applyBorder="1" applyAlignment="1" applyProtection="1">
      <alignment horizontal="right" vertical="center" shrinkToFit="1"/>
      <protection locked="0"/>
    </xf>
    <xf numFmtId="0" fontId="13" fillId="0" borderId="4" xfId="0" applyFont="1" applyBorder="1" applyAlignment="1" applyProtection="1">
      <alignment horizontal="right" vertical="center" shrinkToFit="1"/>
      <protection locked="0"/>
    </xf>
    <xf numFmtId="0" fontId="13" fillId="0" borderId="2" xfId="0" applyFont="1" applyBorder="1" applyAlignment="1" applyProtection="1">
      <alignment horizontal="right" vertical="center" shrinkToFit="1"/>
      <protection locked="0"/>
    </xf>
    <xf numFmtId="0" fontId="13" fillId="0" borderId="5" xfId="0" applyFont="1" applyBorder="1" applyAlignment="1" applyProtection="1">
      <alignment horizontal="left"/>
      <protection hidden="1"/>
    </xf>
    <xf numFmtId="14" fontId="13" fillId="0" borderId="2" xfId="0" applyNumberFormat="1" applyFont="1" applyBorder="1" applyAlignment="1" applyProtection="1">
      <alignment horizontal="center"/>
      <protection locked="0" hidden="1"/>
    </xf>
    <xf numFmtId="14" fontId="13" fillId="0" borderId="4" xfId="0" applyNumberFormat="1" applyFont="1" applyBorder="1" applyAlignment="1" applyProtection="1">
      <alignment horizontal="center"/>
      <protection locked="0" hidden="1"/>
    </xf>
    <xf numFmtId="0" fontId="13" fillId="0" borderId="3" xfId="0" applyFont="1" applyBorder="1" applyAlignment="1" applyProtection="1">
      <alignment horizontal="right"/>
      <protection hidden="1"/>
    </xf>
    <xf numFmtId="14" fontId="13" fillId="0" borderId="3" xfId="0" applyNumberFormat="1" applyFont="1" applyBorder="1" applyAlignment="1" applyProtection="1">
      <alignment horizontal="center"/>
      <protection locked="0" hidden="1"/>
    </xf>
    <xf numFmtId="0" fontId="13" fillId="0" borderId="5" xfId="0" applyFont="1" applyBorder="1" applyAlignment="1" applyProtection="1">
      <alignment horizontal="center"/>
      <protection hidden="1"/>
    </xf>
    <xf numFmtId="0" fontId="1" fillId="18" borderId="16" xfId="0" applyFont="1" applyFill="1" applyBorder="1" applyAlignment="1" applyProtection="1">
      <alignment horizontal="center" vertical="center"/>
      <protection hidden="1"/>
    </xf>
    <xf numFmtId="0" fontId="1" fillId="18" borderId="18" xfId="0" applyFont="1" applyFill="1" applyBorder="1" applyAlignment="1" applyProtection="1">
      <alignment horizontal="center" vertical="center"/>
      <protection hidden="1"/>
    </xf>
    <xf numFmtId="0" fontId="1" fillId="18" borderId="43" xfId="0" applyFont="1" applyFill="1" applyBorder="1" applyAlignment="1" applyProtection="1">
      <alignment horizontal="center" vertical="center"/>
      <protection hidden="1"/>
    </xf>
    <xf numFmtId="0" fontId="1" fillId="20" borderId="70" xfId="0" applyFont="1" applyFill="1" applyBorder="1" applyAlignment="1" applyProtection="1">
      <alignment horizontal="center"/>
      <protection hidden="1"/>
    </xf>
    <xf numFmtId="0" fontId="1" fillId="20" borderId="32" xfId="0" applyFont="1" applyFill="1" applyBorder="1" applyAlignment="1" applyProtection="1">
      <alignment horizontal="center"/>
      <protection hidden="1"/>
    </xf>
    <xf numFmtId="164" fontId="1" fillId="18" borderId="67" xfId="0" applyNumberFormat="1" applyFont="1" applyFill="1" applyBorder="1" applyAlignment="1" applyProtection="1">
      <alignment horizontal="center" vertical="center"/>
      <protection hidden="1"/>
    </xf>
    <xf numFmtId="164" fontId="1" fillId="18" borderId="43" xfId="0" applyNumberFormat="1" applyFont="1" applyFill="1" applyBorder="1" applyAlignment="1" applyProtection="1">
      <alignment horizontal="center" vertical="center"/>
      <protection hidden="1"/>
    </xf>
    <xf numFmtId="0" fontId="1" fillId="20" borderId="46" xfId="0" applyFont="1" applyFill="1" applyBorder="1" applyAlignment="1" applyProtection="1">
      <alignment horizontal="center"/>
      <protection hidden="1"/>
    </xf>
    <xf numFmtId="0" fontId="13" fillId="0" borderId="7" xfId="0" applyFont="1" applyBorder="1" applyAlignment="1" applyProtection="1">
      <alignment horizontal="center" shrinkToFit="1"/>
      <protection hidden="1"/>
    </xf>
    <xf numFmtId="0" fontId="13" fillId="0" borderId="0" xfId="0" applyFont="1" applyAlignment="1" applyProtection="1">
      <alignment horizontal="center" shrinkToFit="1"/>
      <protection hidden="1"/>
    </xf>
    <xf numFmtId="0" fontId="13" fillId="0" borderId="8" xfId="0" applyFont="1" applyBorder="1" applyAlignment="1" applyProtection="1">
      <alignment horizontal="center" shrinkToFit="1"/>
      <protection hidden="1"/>
    </xf>
    <xf numFmtId="0" fontId="3" fillId="0" borderId="9" xfId="0" applyFont="1" applyBorder="1" applyAlignment="1" applyProtection="1">
      <alignment horizontal="center" vertical="center" wrapText="1" shrinkToFit="1"/>
      <protection hidden="1"/>
    </xf>
    <xf numFmtId="0" fontId="3" fillId="0" borderId="10" xfId="0" applyFont="1" applyBorder="1" applyAlignment="1" applyProtection="1">
      <alignment horizontal="center" vertical="center" wrapText="1" shrinkToFit="1"/>
      <protection hidden="1"/>
    </xf>
    <xf numFmtId="0" fontId="3" fillId="0" borderId="12" xfId="0" applyFont="1" applyBorder="1" applyAlignment="1" applyProtection="1">
      <alignment horizontal="center" vertical="center" wrapText="1" shrinkToFit="1"/>
      <protection hidden="1"/>
    </xf>
    <xf numFmtId="0" fontId="3" fillId="0" borderId="6"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1"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3" fillId="0" borderId="10" xfId="0" applyFont="1" applyBorder="1" applyAlignment="1" applyProtection="1">
      <alignment horizontal="center" vertical="center" shrinkToFit="1"/>
      <protection hidden="1"/>
    </xf>
    <xf numFmtId="0" fontId="3" fillId="0" borderId="12" xfId="0" applyFont="1" applyBorder="1" applyAlignment="1" applyProtection="1">
      <alignment horizontal="center" vertical="center" shrinkToFit="1"/>
      <protection hidden="1"/>
    </xf>
    <xf numFmtId="0" fontId="3" fillId="0" borderId="6" xfId="0" quotePrefix="1" applyFont="1" applyBorder="1" applyAlignment="1" applyProtection="1">
      <alignment horizontal="center" vertical="center" shrinkToFit="1"/>
      <protection hidden="1"/>
    </xf>
    <xf numFmtId="0" fontId="3" fillId="0" borderId="6" xfId="0" applyFont="1" applyBorder="1" applyAlignment="1" applyProtection="1">
      <alignment horizontal="center" wrapText="1" shrinkToFit="1"/>
      <protection hidden="1"/>
    </xf>
    <xf numFmtId="0" fontId="3" fillId="0" borderId="5" xfId="0" applyFont="1" applyBorder="1" applyAlignment="1" applyProtection="1">
      <alignment horizontal="center" wrapText="1" shrinkToFit="1"/>
      <protection hidden="1"/>
    </xf>
    <xf numFmtId="0" fontId="3" fillId="0" borderId="11" xfId="0" applyFont="1" applyBorder="1" applyAlignment="1" applyProtection="1">
      <alignment horizontal="center" wrapText="1" shrinkToFit="1"/>
      <protection hidden="1"/>
    </xf>
    <xf numFmtId="0" fontId="13" fillId="0" borderId="6" xfId="0" applyFont="1" applyBorder="1" applyAlignment="1" applyProtection="1">
      <alignment horizontal="center" shrinkToFit="1"/>
      <protection hidden="1"/>
    </xf>
    <xf numFmtId="0" fontId="13" fillId="0" borderId="5" xfId="0" applyFont="1" applyBorder="1" applyAlignment="1" applyProtection="1">
      <alignment horizontal="center" shrinkToFit="1"/>
      <protection hidden="1"/>
    </xf>
    <xf numFmtId="0" fontId="13" fillId="0" borderId="11" xfId="0" applyFont="1" applyBorder="1" applyAlignment="1" applyProtection="1">
      <alignment horizontal="center" shrinkToFit="1"/>
      <protection hidden="1"/>
    </xf>
    <xf numFmtId="0" fontId="13" fillId="0" borderId="6" xfId="0" applyFont="1" applyBorder="1" applyAlignment="1" applyProtection="1">
      <alignment horizontal="left" vertical="top" wrapText="1"/>
      <protection hidden="1"/>
    </xf>
    <xf numFmtId="0" fontId="13" fillId="0" borderId="5" xfId="0" applyFont="1" applyBorder="1" applyAlignment="1" applyProtection="1">
      <alignment horizontal="left" vertical="top" wrapText="1"/>
      <protection hidden="1"/>
    </xf>
    <xf numFmtId="0" fontId="13" fillId="0" borderId="11" xfId="0" applyFont="1" applyBorder="1" applyAlignment="1" applyProtection="1">
      <alignment horizontal="left" vertical="top" wrapText="1"/>
      <protection hidden="1"/>
    </xf>
    <xf numFmtId="0" fontId="13" fillId="0" borderId="9" xfId="0" applyFont="1" applyBorder="1" applyAlignment="1" applyProtection="1">
      <alignment horizontal="left" vertical="top" wrapText="1"/>
      <protection hidden="1"/>
    </xf>
    <xf numFmtId="0" fontId="13" fillId="0" borderId="10" xfId="0" applyFont="1" applyBorder="1" applyAlignment="1" applyProtection="1">
      <alignment horizontal="left" vertical="top" wrapText="1"/>
      <protection hidden="1"/>
    </xf>
    <xf numFmtId="0" fontId="13" fillId="0" borderId="12" xfId="0" applyFont="1" applyBorder="1" applyAlignment="1" applyProtection="1">
      <alignment horizontal="left" vertical="top" wrapText="1"/>
      <protection hidden="1"/>
    </xf>
    <xf numFmtId="0" fontId="3" fillId="0" borderId="6" xfId="0" applyFont="1" applyBorder="1" applyAlignment="1" applyProtection="1">
      <alignment horizontal="center" vertical="distributed" wrapText="1"/>
      <protection hidden="1"/>
    </xf>
    <xf numFmtId="0" fontId="3" fillId="0" borderId="5" xfId="0" applyFont="1" applyBorder="1" applyAlignment="1" applyProtection="1">
      <alignment horizontal="center" vertical="distributed" wrapText="1"/>
      <protection hidden="1"/>
    </xf>
    <xf numFmtId="0" fontId="3" fillId="0" borderId="11" xfId="0" applyFont="1" applyBorder="1" applyAlignment="1" applyProtection="1">
      <alignment horizontal="center" vertical="distributed" wrapText="1"/>
      <protection hidden="1"/>
    </xf>
    <xf numFmtId="0" fontId="3" fillId="0" borderId="9" xfId="0" applyFont="1" applyBorder="1" applyAlignment="1" applyProtection="1">
      <alignment horizontal="center" vertical="distributed" wrapText="1"/>
      <protection hidden="1"/>
    </xf>
    <xf numFmtId="0" fontId="3" fillId="0" borderId="10" xfId="0" applyFont="1" applyBorder="1" applyAlignment="1" applyProtection="1">
      <alignment horizontal="center" vertical="distributed" wrapText="1"/>
      <protection hidden="1"/>
    </xf>
    <xf numFmtId="0" fontId="3" fillId="0" borderId="12" xfId="0" applyFont="1" applyBorder="1" applyAlignment="1" applyProtection="1">
      <alignment horizontal="center" vertical="distributed" wrapText="1"/>
      <protection hidden="1"/>
    </xf>
    <xf numFmtId="0" fontId="13" fillId="0" borderId="9" xfId="0" applyFont="1" applyBorder="1" applyAlignment="1" applyProtection="1">
      <alignment horizontal="left"/>
      <protection hidden="1"/>
    </xf>
    <xf numFmtId="0" fontId="13" fillId="0" borderId="10" xfId="0" applyFont="1" applyBorder="1" applyAlignment="1" applyProtection="1">
      <alignment horizontal="left"/>
      <protection hidden="1"/>
    </xf>
    <xf numFmtId="0" fontId="13" fillId="0" borderId="10" xfId="0" applyFont="1" applyBorder="1" applyAlignment="1" applyProtection="1">
      <alignment horizontal="right" shrinkToFit="1"/>
      <protection hidden="1"/>
    </xf>
    <xf numFmtId="0" fontId="13" fillId="0" borderId="3" xfId="0" applyFont="1" applyBorder="1" applyAlignment="1" applyProtection="1">
      <alignment horizontal="right" shrinkToFit="1"/>
      <protection hidden="1"/>
    </xf>
    <xf numFmtId="0" fontId="13" fillId="0" borderId="4" xfId="0" applyFont="1" applyBorder="1" applyAlignment="1" applyProtection="1">
      <alignment horizontal="right" shrinkToFit="1"/>
      <protection hidden="1"/>
    </xf>
    <xf numFmtId="0" fontId="13" fillId="0" borderId="12" xfId="0" applyFont="1" applyBorder="1" applyAlignment="1" applyProtection="1">
      <alignment horizontal="right" shrinkToFit="1"/>
      <protection hidden="1"/>
    </xf>
    <xf numFmtId="0" fontId="13" fillId="0" borderId="2" xfId="0" applyFont="1" applyBorder="1" applyAlignment="1" applyProtection="1">
      <alignment horizontal="left"/>
      <protection hidden="1"/>
    </xf>
    <xf numFmtId="0" fontId="13" fillId="0" borderId="3" xfId="0" applyFont="1" applyBorder="1" applyAlignment="1" applyProtection="1">
      <alignment horizontal="left"/>
      <protection hidden="1"/>
    </xf>
    <xf numFmtId="0" fontId="13" fillId="0" borderId="9" xfId="0" applyFont="1" applyBorder="1" applyAlignment="1" applyProtection="1">
      <alignment horizontal="center" shrinkToFit="1"/>
      <protection hidden="1"/>
    </xf>
    <xf numFmtId="0" fontId="13" fillId="0" borderId="10" xfId="0" applyFont="1" applyBorder="1" applyAlignment="1" applyProtection="1">
      <alignment horizontal="center" shrinkToFit="1"/>
      <protection hidden="1"/>
    </xf>
    <xf numFmtId="0" fontId="13" fillId="0" borderId="12" xfId="0" applyFont="1" applyBorder="1" applyAlignment="1" applyProtection="1">
      <alignment horizontal="center" shrinkToFit="1"/>
      <protection hidden="1"/>
    </xf>
    <xf numFmtId="0" fontId="32" fillId="0" borderId="0" xfId="0" applyFont="1" applyAlignment="1" applyProtection="1">
      <alignment horizontal="center"/>
      <protection hidden="1"/>
    </xf>
    <xf numFmtId="0" fontId="10" fillId="0" borderId="0" xfId="0" applyFont="1" applyAlignment="1" applyProtection="1">
      <alignment horizontal="center"/>
      <protection hidden="1"/>
    </xf>
    <xf numFmtId="0" fontId="3" fillId="0" borderId="7" xfId="0" applyFont="1" applyBorder="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166" fontId="3" fillId="0" borderId="6" xfId="0" applyNumberFormat="1" applyFont="1" applyBorder="1" applyAlignment="1" applyProtection="1">
      <alignment horizontal="center" vertical="center"/>
      <protection locked="0"/>
    </xf>
    <xf numFmtId="166" fontId="3" fillId="0" borderId="5" xfId="0" applyNumberFormat="1" applyFont="1" applyBorder="1" applyAlignment="1" applyProtection="1">
      <alignment horizontal="center" vertical="center"/>
      <protection locked="0"/>
    </xf>
    <xf numFmtId="166" fontId="3" fillId="0" borderId="11" xfId="0" applyNumberFormat="1" applyFont="1" applyBorder="1" applyAlignment="1" applyProtection="1">
      <alignment horizontal="center" vertical="center"/>
      <protection locked="0"/>
    </xf>
    <xf numFmtId="166" fontId="3" fillId="0" borderId="7" xfId="0" applyNumberFormat="1" applyFont="1" applyBorder="1" applyAlignment="1" applyProtection="1">
      <alignment horizontal="center" vertical="center"/>
      <protection locked="0"/>
    </xf>
    <xf numFmtId="166" fontId="3" fillId="0" borderId="0" xfId="0" applyNumberFormat="1" applyFont="1" applyAlignment="1" applyProtection="1">
      <alignment horizontal="center" vertical="center"/>
      <protection locked="0"/>
    </xf>
    <xf numFmtId="166" fontId="3" fillId="0" borderId="8" xfId="0" applyNumberFormat="1" applyFont="1" applyBorder="1" applyAlignment="1" applyProtection="1">
      <alignment horizontal="center" vertical="center"/>
      <protection locked="0"/>
    </xf>
    <xf numFmtId="166" fontId="3" fillId="0" borderId="9" xfId="0" applyNumberFormat="1" applyFont="1" applyBorder="1" applyAlignment="1" applyProtection="1">
      <alignment horizontal="center" vertical="center"/>
      <protection locked="0"/>
    </xf>
    <xf numFmtId="166" fontId="3" fillId="0" borderId="10" xfId="0" applyNumberFormat="1" applyFont="1" applyBorder="1" applyAlignment="1" applyProtection="1">
      <alignment horizontal="center" vertical="center"/>
      <protection locked="0"/>
    </xf>
    <xf numFmtId="166" fontId="3" fillId="0" borderId="12" xfId="0" applyNumberFormat="1" applyFont="1" applyBorder="1" applyAlignment="1" applyProtection="1">
      <alignment horizontal="center" vertical="center"/>
      <protection locked="0"/>
    </xf>
    <xf numFmtId="0" fontId="13" fillId="0" borderId="2" xfId="0" applyFont="1" applyBorder="1" applyAlignment="1" applyProtection="1">
      <alignment horizontal="left" vertical="center"/>
      <protection hidden="1"/>
    </xf>
    <xf numFmtId="0" fontId="13" fillId="0" borderId="3" xfId="0" applyFont="1" applyBorder="1" applyAlignment="1" applyProtection="1">
      <alignment horizontal="left" vertical="center"/>
      <protection hidden="1"/>
    </xf>
    <xf numFmtId="0" fontId="13" fillId="0" borderId="4" xfId="0" applyFont="1" applyBorder="1" applyAlignment="1" applyProtection="1">
      <alignment horizontal="left" vertical="center"/>
      <protection hidden="1"/>
    </xf>
    <xf numFmtId="0" fontId="3" fillId="0" borderId="6" xfId="0" applyFont="1" applyBorder="1" applyAlignment="1" applyProtection="1">
      <alignment horizontal="center" shrinkToFit="1"/>
      <protection hidden="1"/>
    </xf>
    <xf numFmtId="0" fontId="3" fillId="0" borderId="5" xfId="0" applyFont="1" applyBorder="1" applyAlignment="1" applyProtection="1">
      <alignment horizontal="center" shrinkToFit="1"/>
      <protection hidden="1"/>
    </xf>
    <xf numFmtId="0" fontId="3" fillId="0" borderId="11" xfId="0" applyFont="1" applyBorder="1" applyAlignment="1" applyProtection="1">
      <alignment horizontal="center" shrinkToFit="1"/>
      <protection hidden="1"/>
    </xf>
    <xf numFmtId="0" fontId="3" fillId="0" borderId="7" xfId="0" applyFont="1" applyBorder="1" applyAlignment="1" applyProtection="1">
      <alignment horizontal="center" shrinkToFit="1"/>
      <protection hidden="1"/>
    </xf>
    <xf numFmtId="0" fontId="3" fillId="0" borderId="0" xfId="0" applyFont="1" applyAlignment="1" applyProtection="1">
      <alignment horizontal="center" shrinkToFit="1"/>
      <protection hidden="1"/>
    </xf>
    <xf numFmtId="0" fontId="3" fillId="0" borderId="8" xfId="0" applyFont="1" applyBorder="1" applyAlignment="1" applyProtection="1">
      <alignment horizontal="center" shrinkToFit="1"/>
      <protection hidden="1"/>
    </xf>
    <xf numFmtId="0" fontId="13" fillId="0" borderId="2"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28" fillId="0" borderId="6" xfId="0" applyFont="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11" xfId="0" applyFont="1" applyBorder="1" applyAlignment="1" applyProtection="1">
      <alignment horizontal="left" vertical="top" wrapText="1"/>
      <protection locked="0"/>
    </xf>
    <xf numFmtId="0" fontId="28" fillId="0" borderId="7" xfId="0" applyFont="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8" fillId="0" borderId="8" xfId="0" applyFont="1" applyBorder="1" applyAlignment="1" applyProtection="1">
      <alignment horizontal="left" vertical="top" wrapText="1"/>
      <protection locked="0"/>
    </xf>
    <xf numFmtId="0" fontId="28" fillId="0" borderId="9" xfId="0" applyFont="1" applyBorder="1" applyAlignment="1" applyProtection="1">
      <alignment horizontal="left" vertical="top" wrapText="1"/>
      <protection locked="0"/>
    </xf>
    <xf numFmtId="0" fontId="28" fillId="0" borderId="10" xfId="0" applyFont="1" applyBorder="1" applyAlignment="1" applyProtection="1">
      <alignment horizontal="left" vertical="top" wrapText="1"/>
      <protection locked="0"/>
    </xf>
    <xf numFmtId="0" fontId="28" fillId="0" borderId="12" xfId="0" applyFont="1" applyBorder="1" applyAlignment="1" applyProtection="1">
      <alignment horizontal="left" vertical="top" wrapText="1"/>
      <protection locked="0"/>
    </xf>
    <xf numFmtId="0" fontId="13" fillId="0" borderId="2" xfId="0" applyFont="1" applyBorder="1" applyAlignment="1" applyProtection="1">
      <alignment horizontal="center" vertical="center"/>
      <protection locked="0"/>
    </xf>
    <xf numFmtId="0" fontId="27" fillId="0" borderId="0" xfId="0" applyFont="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6" xfId="0" applyFont="1" applyBorder="1" applyAlignment="1">
      <alignment horizontal="left" vertical="center" wrapText="1"/>
    </xf>
    <xf numFmtId="0" fontId="28" fillId="0" borderId="5" xfId="0" applyFont="1" applyBorder="1" applyAlignment="1">
      <alignment horizontal="left" vertical="center" wrapText="1"/>
    </xf>
    <xf numFmtId="0" fontId="28" fillId="0" borderId="11" xfId="0" applyFont="1" applyBorder="1" applyAlignment="1">
      <alignment horizontal="left" vertical="center" wrapText="1"/>
    </xf>
    <xf numFmtId="0" fontId="40" fillId="0" borderId="7" xfId="0" applyFont="1" applyBorder="1" applyAlignment="1">
      <alignment horizontal="left" vertical="top" wrapText="1"/>
    </xf>
    <xf numFmtId="0" fontId="40" fillId="0" borderId="0" xfId="0" applyFont="1" applyAlignment="1">
      <alignment horizontal="left" vertical="top" wrapText="1"/>
    </xf>
    <xf numFmtId="0" fontId="40" fillId="0" borderId="8" xfId="0" applyFont="1" applyBorder="1" applyAlignment="1">
      <alignment horizontal="left" vertical="top" wrapText="1"/>
    </xf>
    <xf numFmtId="0" fontId="40" fillId="0" borderId="9" xfId="0" applyFont="1" applyBorder="1" applyAlignment="1">
      <alignment horizontal="left" vertical="top" wrapText="1"/>
    </xf>
    <xf numFmtId="0" fontId="40" fillId="0" borderId="10" xfId="0" applyFont="1" applyBorder="1" applyAlignment="1">
      <alignment horizontal="left" vertical="top" wrapText="1"/>
    </xf>
    <xf numFmtId="0" fontId="40" fillId="0" borderId="12" xfId="0" applyFont="1" applyBorder="1" applyAlignment="1">
      <alignment horizontal="left" vertical="top" wrapText="1"/>
    </xf>
    <xf numFmtId="14" fontId="13" fillId="0" borderId="3" xfId="0" applyNumberFormat="1" applyFont="1" applyBorder="1" applyAlignment="1" applyProtection="1">
      <alignment horizontal="center" vertical="center" wrapText="1"/>
      <protection locked="0"/>
    </xf>
    <xf numFmtId="14" fontId="13" fillId="0" borderId="4" xfId="0" applyNumberFormat="1" applyFont="1" applyBorder="1" applyAlignment="1" applyProtection="1">
      <alignment horizontal="center" vertical="center" wrapText="1"/>
      <protection locked="0"/>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13" fillId="0" borderId="6" xfId="0" applyFont="1" applyBorder="1" applyAlignment="1">
      <alignment horizontal="left" vertical="top" wrapText="1"/>
    </xf>
    <xf numFmtId="0" fontId="13" fillId="0" borderId="5"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164" fontId="13" fillId="0" borderId="2" xfId="0" applyNumberFormat="1" applyFont="1" applyBorder="1" applyAlignment="1">
      <alignment horizontal="center"/>
    </xf>
    <xf numFmtId="164" fontId="13" fillId="0" borderId="3" xfId="0" applyNumberFormat="1" applyFont="1" applyBorder="1" applyAlignment="1">
      <alignment horizontal="center"/>
    </xf>
    <xf numFmtId="164" fontId="13" fillId="0" borderId="4" xfId="0" applyNumberFormat="1" applyFont="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5" borderId="2" xfId="0" applyFont="1" applyFill="1" applyBorder="1" applyAlignment="1">
      <alignment horizontal="center"/>
    </xf>
    <xf numFmtId="0" fontId="6" fillId="5" borderId="4" xfId="0" applyFont="1" applyFill="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5" borderId="2" xfId="0" applyFont="1" applyFill="1" applyBorder="1" applyAlignment="1">
      <alignment horizontal="center"/>
    </xf>
    <xf numFmtId="0" fontId="13" fillId="5" borderId="4" xfId="0" applyFont="1" applyFill="1" applyBorder="1" applyAlignment="1">
      <alignment horizontal="center"/>
    </xf>
    <xf numFmtId="0" fontId="6" fillId="5" borderId="6"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2" xfId="0" applyFont="1" applyFill="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5" borderId="6" xfId="0" applyFont="1" applyFill="1" applyBorder="1" applyAlignment="1">
      <alignment horizontal="center"/>
    </xf>
    <xf numFmtId="0" fontId="6" fillId="5" borderId="5" xfId="0" applyFont="1" applyFill="1" applyBorder="1" applyAlignment="1">
      <alignment horizontal="center"/>
    </xf>
    <xf numFmtId="0" fontId="6" fillId="5" borderId="11" xfId="0" applyFont="1" applyFill="1" applyBorder="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3" fillId="20" borderId="2" xfId="0" applyFont="1" applyFill="1" applyBorder="1" applyAlignment="1">
      <alignment horizontal="center"/>
    </xf>
    <xf numFmtId="0" fontId="43" fillId="20" borderId="3" xfId="0" applyFont="1" applyFill="1" applyBorder="1" applyAlignment="1">
      <alignment horizontal="center"/>
    </xf>
    <xf numFmtId="0" fontId="43" fillId="20" borderId="4" xfId="0" applyFont="1" applyFill="1" applyBorder="1" applyAlignment="1">
      <alignment horizontal="center"/>
    </xf>
    <xf numFmtId="164" fontId="1" fillId="20" borderId="3" xfId="0" applyNumberFormat="1" applyFont="1" applyFill="1" applyBorder="1" applyAlignment="1">
      <alignment horizontal="right" vertical="center"/>
    </xf>
    <xf numFmtId="164" fontId="1" fillId="20" borderId="4" xfId="0" applyNumberFormat="1" applyFont="1" applyFill="1" applyBorder="1" applyAlignment="1">
      <alignment horizontal="right" vertical="center"/>
    </xf>
    <xf numFmtId="0" fontId="1" fillId="0" borderId="7" xfId="0" applyFont="1" applyBorder="1" applyAlignment="1">
      <alignment horizontal="left"/>
    </xf>
    <xf numFmtId="0" fontId="1" fillId="0" borderId="0" xfId="0" applyFont="1" applyAlignment="1">
      <alignment horizontal="left"/>
    </xf>
    <xf numFmtId="0" fontId="1" fillId="0" borderId="29" xfId="0" applyFont="1" applyBorder="1" applyAlignment="1">
      <alignment horizontal="left"/>
    </xf>
    <xf numFmtId="0" fontId="1" fillId="0" borderId="0" xfId="0" applyFont="1" applyAlignment="1">
      <alignment horizontal="right"/>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37" xfId="0" applyFont="1" applyBorder="1" applyAlignment="1">
      <alignment horizontal="center" vertical="center" wrapText="1"/>
    </xf>
    <xf numFmtId="165" fontId="15" fillId="0" borderId="5" xfId="0" applyNumberFormat="1" applyFont="1" applyBorder="1" applyAlignment="1">
      <alignment horizontal="center" vertical="center" wrapText="1"/>
    </xf>
    <xf numFmtId="165" fontId="15" fillId="0" borderId="0" xfId="0" applyNumberFormat="1" applyFont="1" applyAlignment="1">
      <alignment horizontal="center" vertical="center" wrapText="1"/>
    </xf>
    <xf numFmtId="165" fontId="15" fillId="0" borderId="37" xfId="0" applyNumberFormat="1"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37" xfId="0" applyFont="1" applyBorder="1" applyAlignment="1">
      <alignment horizontal="center" vertical="center"/>
    </xf>
    <xf numFmtId="0" fontId="12" fillId="17" borderId="6" xfId="2" applyFont="1" applyFill="1" applyBorder="1" applyAlignment="1">
      <alignment horizontal="center" vertical="center"/>
    </xf>
    <xf numFmtId="0" fontId="12" fillId="17" borderId="5" xfId="2" applyFont="1" applyFill="1" applyBorder="1" applyAlignment="1">
      <alignment horizontal="center" vertical="center"/>
    </xf>
    <xf numFmtId="0" fontId="12" fillId="17" borderId="11" xfId="2" applyFont="1" applyFill="1" applyBorder="1" applyAlignment="1">
      <alignment horizontal="center" vertical="center"/>
    </xf>
    <xf numFmtId="0" fontId="12" fillId="17" borderId="9" xfId="2" applyFont="1" applyFill="1" applyBorder="1" applyAlignment="1">
      <alignment horizontal="center" vertical="center"/>
    </xf>
    <xf numFmtId="0" fontId="12" fillId="17" borderId="10" xfId="2" applyFont="1" applyFill="1" applyBorder="1" applyAlignment="1">
      <alignment horizontal="center" vertical="center"/>
    </xf>
    <xf numFmtId="0" fontId="12" fillId="17" borderId="12" xfId="2" applyFont="1" applyFill="1" applyBorder="1" applyAlignment="1">
      <alignment horizontal="center" vertical="center"/>
    </xf>
    <xf numFmtId="44" fontId="9" fillId="17" borderId="24" xfId="1" applyFont="1" applyFill="1" applyBorder="1" applyAlignment="1">
      <alignment horizontal="center" vertical="center"/>
    </xf>
    <xf numFmtId="44" fontId="9" fillId="17" borderId="15" xfId="1" applyFont="1" applyFill="1" applyBorder="1" applyAlignment="1">
      <alignment horizontal="center" vertical="center"/>
    </xf>
    <xf numFmtId="0" fontId="9" fillId="17" borderId="24" xfId="2" applyFill="1" applyBorder="1" applyAlignment="1">
      <alignment horizontal="center" vertical="center"/>
    </xf>
    <xf numFmtId="0" fontId="9" fillId="17" borderId="15" xfId="2" applyFill="1" applyBorder="1" applyAlignment="1">
      <alignment horizontal="center" vertical="center"/>
    </xf>
    <xf numFmtId="0" fontId="5" fillId="17" borderId="2" xfId="2" applyFont="1" applyFill="1" applyBorder="1" applyAlignment="1">
      <alignment horizontal="center" vertical="top" wrapText="1"/>
    </xf>
    <xf numFmtId="0" fontId="5" fillId="17" borderId="4" xfId="2" applyFont="1" applyFill="1" applyBorder="1" applyAlignment="1">
      <alignment horizontal="center" vertical="top" wrapText="1"/>
    </xf>
    <xf numFmtId="0" fontId="5" fillId="17" borderId="2" xfId="2" applyFont="1" applyFill="1" applyBorder="1" applyAlignment="1">
      <alignment horizontal="center" vertical="center" wrapText="1"/>
    </xf>
    <xf numFmtId="0" fontId="5" fillId="17" borderId="4" xfId="2" applyFont="1" applyFill="1" applyBorder="1" applyAlignment="1">
      <alignment horizontal="center" vertical="center" wrapText="1"/>
    </xf>
    <xf numFmtId="0" fontId="55" fillId="4" borderId="6" xfId="2" applyFont="1" applyFill="1" applyBorder="1" applyAlignment="1">
      <alignment horizontal="center" vertical="center"/>
    </xf>
    <xf numFmtId="0" fontId="55" fillId="4" borderId="5" xfId="2" applyFont="1" applyFill="1" applyBorder="1" applyAlignment="1">
      <alignment horizontal="center" vertical="center"/>
    </xf>
    <xf numFmtId="0" fontId="55" fillId="4" borderId="11" xfId="2" applyFont="1" applyFill="1" applyBorder="1" applyAlignment="1">
      <alignment horizontal="center" vertical="center"/>
    </xf>
    <xf numFmtId="0" fontId="55" fillId="4" borderId="9" xfId="2" applyFont="1" applyFill="1" applyBorder="1" applyAlignment="1">
      <alignment horizontal="center" vertical="center"/>
    </xf>
    <xf numFmtId="0" fontId="55" fillId="4" borderId="10" xfId="2" applyFont="1" applyFill="1" applyBorder="1" applyAlignment="1">
      <alignment horizontal="center" vertical="center"/>
    </xf>
    <xf numFmtId="0" fontId="55" fillId="4" borderId="12" xfId="2" applyFont="1" applyFill="1" applyBorder="1" applyAlignment="1">
      <alignment horizontal="center" vertical="center"/>
    </xf>
    <xf numFmtId="44" fontId="9" fillId="4" borderId="24" xfId="1" applyFont="1" applyFill="1" applyBorder="1" applyAlignment="1">
      <alignment horizontal="center" vertical="center"/>
    </xf>
    <xf numFmtId="44" fontId="9" fillId="4" borderId="15" xfId="1" applyFont="1" applyFill="1" applyBorder="1" applyAlignment="1">
      <alignment horizontal="center" vertical="center"/>
    </xf>
    <xf numFmtId="0" fontId="9" fillId="4" borderId="24" xfId="2" applyFill="1" applyBorder="1" applyAlignment="1">
      <alignment horizontal="center" vertical="center"/>
    </xf>
    <xf numFmtId="0" fontId="9" fillId="4" borderId="15" xfId="2" applyFill="1" applyBorder="1" applyAlignment="1">
      <alignment horizontal="center" vertical="center"/>
    </xf>
    <xf numFmtId="0" fontId="5" fillId="4" borderId="2" xfId="2" applyFont="1" applyFill="1" applyBorder="1" applyAlignment="1">
      <alignment horizontal="center" vertical="center" wrapText="1"/>
    </xf>
    <xf numFmtId="0" fontId="5" fillId="4" borderId="4" xfId="2" applyFont="1" applyFill="1" applyBorder="1" applyAlignment="1">
      <alignment horizontal="center" vertical="center" wrapText="1"/>
    </xf>
    <xf numFmtId="0" fontId="12" fillId="4" borderId="6" xfId="2" applyFont="1" applyFill="1" applyBorder="1" applyAlignment="1">
      <alignment horizontal="center" vertical="center"/>
    </xf>
    <xf numFmtId="0" fontId="12" fillId="4" borderId="5" xfId="2" applyFont="1" applyFill="1" applyBorder="1" applyAlignment="1">
      <alignment horizontal="center" vertical="center"/>
    </xf>
    <xf numFmtId="0" fontId="12" fillId="4" borderId="11" xfId="2" applyFont="1" applyFill="1" applyBorder="1" applyAlignment="1">
      <alignment horizontal="center" vertical="center"/>
    </xf>
    <xf numFmtId="0" fontId="12" fillId="4" borderId="9" xfId="2" applyFont="1" applyFill="1" applyBorder="1" applyAlignment="1">
      <alignment horizontal="center" vertical="center"/>
    </xf>
    <xf numFmtId="0" fontId="12" fillId="4" borderId="10" xfId="2" applyFont="1" applyFill="1" applyBorder="1" applyAlignment="1">
      <alignment horizontal="center" vertical="center"/>
    </xf>
    <xf numFmtId="0" fontId="12" fillId="4" borderId="12" xfId="2" applyFont="1" applyFill="1" applyBorder="1" applyAlignment="1">
      <alignment horizontal="center" vertical="center"/>
    </xf>
    <xf numFmtId="44" fontId="9" fillId="4" borderId="23" xfId="1" applyFont="1" applyFill="1" applyBorder="1" applyAlignment="1">
      <alignment horizontal="center" vertical="center"/>
    </xf>
    <xf numFmtId="0" fontId="9" fillId="4" borderId="23" xfId="2" applyFill="1" applyBorder="1" applyAlignment="1">
      <alignment horizontal="center" vertical="center"/>
    </xf>
    <xf numFmtId="0" fontId="16" fillId="4" borderId="2" xfId="2" applyFont="1" applyFill="1" applyBorder="1" applyAlignment="1">
      <alignment horizontal="center" vertical="center" wrapText="1"/>
    </xf>
    <xf numFmtId="0" fontId="16" fillId="4" borderId="4" xfId="2" applyFont="1" applyFill="1" applyBorder="1" applyAlignment="1">
      <alignment horizontal="center" vertical="center" wrapText="1"/>
    </xf>
    <xf numFmtId="0" fontId="12" fillId="4" borderId="7" xfId="2" applyFont="1" applyFill="1" applyBorder="1" applyAlignment="1">
      <alignment horizontal="center" vertical="center"/>
    </xf>
    <xf numFmtId="0" fontId="12" fillId="4" borderId="0" xfId="2" applyFont="1" applyFill="1" applyAlignment="1">
      <alignment horizontal="center" vertical="center"/>
    </xf>
    <xf numFmtId="0" fontId="12" fillId="4" borderId="8" xfId="2" applyFont="1" applyFill="1" applyBorder="1" applyAlignment="1">
      <alignment horizontal="center" vertical="center"/>
    </xf>
    <xf numFmtId="164" fontId="0" fillId="0" borderId="13" xfId="0" applyNumberFormat="1" applyBorder="1" applyAlignment="1" applyProtection="1">
      <alignment horizontal="right"/>
      <protection locked="0"/>
    </xf>
    <xf numFmtId="164" fontId="0" fillId="0" borderId="53" xfId="0" applyNumberFormat="1" applyBorder="1" applyAlignment="1" applyProtection="1">
      <alignment horizontal="right"/>
      <protection locked="0"/>
    </xf>
    <xf numFmtId="0" fontId="5" fillId="0" borderId="7" xfId="0" applyFont="1" applyBorder="1" applyAlignment="1" applyProtection="1">
      <alignment horizontal="left"/>
      <protection hidden="1"/>
    </xf>
    <xf numFmtId="0" fontId="5" fillId="0" borderId="0" xfId="0" applyFont="1" applyAlignment="1" applyProtection="1">
      <alignment horizontal="left"/>
      <protection hidden="1"/>
    </xf>
    <xf numFmtId="164" fontId="0" fillId="0" borderId="20" xfId="0" applyNumberFormat="1" applyBorder="1" applyAlignment="1" applyProtection="1">
      <alignment horizontal="right"/>
      <protection locked="0"/>
    </xf>
    <xf numFmtId="164" fontId="0" fillId="0" borderId="17" xfId="0" applyNumberFormat="1" applyBorder="1" applyAlignment="1" applyProtection="1">
      <alignment horizontal="right"/>
      <protection locked="0"/>
    </xf>
    <xf numFmtId="0" fontId="5" fillId="0" borderId="29" xfId="0" applyFont="1" applyBorder="1" applyAlignment="1" applyProtection="1">
      <alignment horizontal="left"/>
      <protection hidden="1"/>
    </xf>
    <xf numFmtId="164" fontId="0" fillId="0" borderId="30" xfId="0" applyNumberFormat="1" applyBorder="1" applyAlignment="1" applyProtection="1">
      <alignment horizontal="right"/>
      <protection locked="0"/>
    </xf>
    <xf numFmtId="164" fontId="0" fillId="0" borderId="38" xfId="0" applyNumberFormat="1" applyBorder="1" applyAlignment="1" applyProtection="1">
      <alignment horizontal="right"/>
      <protection locked="0"/>
    </xf>
    <xf numFmtId="0" fontId="5" fillId="0" borderId="6" xfId="0" applyFont="1" applyBorder="1" applyAlignment="1" applyProtection="1">
      <alignment horizontal="left"/>
      <protection hidden="1"/>
    </xf>
    <xf numFmtId="0" fontId="5" fillId="0" borderId="5" xfId="0" applyFont="1" applyBorder="1" applyAlignment="1" applyProtection="1">
      <alignment horizontal="left"/>
      <protection hidden="1"/>
    </xf>
    <xf numFmtId="170" fontId="0" fillId="0" borderId="20" xfId="0" applyNumberFormat="1" applyBorder="1" applyAlignment="1" applyProtection="1">
      <alignment horizontal="right"/>
      <protection locked="0"/>
    </xf>
    <xf numFmtId="170" fontId="0" fillId="0" borderId="17" xfId="0" applyNumberFormat="1" applyBorder="1" applyAlignment="1" applyProtection="1">
      <alignment horizontal="right"/>
      <protection locked="0"/>
    </xf>
    <xf numFmtId="0" fontId="5" fillId="20" borderId="2" xfId="0" applyFont="1" applyFill="1" applyBorder="1" applyAlignment="1" applyProtection="1">
      <alignment horizontal="center"/>
      <protection hidden="1"/>
    </xf>
    <xf numFmtId="0" fontId="5" fillId="20" borderId="3" xfId="0" applyFont="1" applyFill="1" applyBorder="1" applyAlignment="1" applyProtection="1">
      <alignment horizontal="center"/>
      <protection hidden="1"/>
    </xf>
    <xf numFmtId="0" fontId="5" fillId="20" borderId="4" xfId="0" applyFont="1" applyFill="1" applyBorder="1" applyAlignment="1" applyProtection="1">
      <alignment horizontal="center"/>
      <protection hidden="1"/>
    </xf>
    <xf numFmtId="0" fontId="5" fillId="0" borderId="34" xfId="0" applyFont="1" applyBorder="1" applyProtection="1">
      <protection hidden="1"/>
    </xf>
    <xf numFmtId="0" fontId="5" fillId="0" borderId="66" xfId="0" applyFont="1" applyBorder="1" applyProtection="1">
      <protection hidden="1"/>
    </xf>
    <xf numFmtId="0" fontId="5" fillId="0" borderId="34" xfId="0" applyFont="1" applyBorder="1" applyAlignment="1" applyProtection="1">
      <alignment horizontal="left"/>
      <protection hidden="1"/>
    </xf>
    <xf numFmtId="0" fontId="5" fillId="0" borderId="66" xfId="0" applyFont="1" applyBorder="1" applyAlignment="1" applyProtection="1">
      <alignment horizontal="left"/>
      <protection hidden="1"/>
    </xf>
    <xf numFmtId="0" fontId="5" fillId="0" borderId="40"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0" fillId="0" borderId="0" xfId="0" applyAlignment="1" applyProtection="1">
      <alignment horizontal="left"/>
      <protection hidden="1"/>
    </xf>
    <xf numFmtId="0" fontId="5" fillId="0" borderId="49" xfId="0" applyFont="1" applyBorder="1" applyAlignment="1" applyProtection="1">
      <alignment horizontal="left"/>
      <protection hidden="1"/>
    </xf>
    <xf numFmtId="0" fontId="5" fillId="0" borderId="64" xfId="0" applyFont="1" applyBorder="1" applyAlignment="1" applyProtection="1">
      <alignment horizontal="left"/>
      <protection hidden="1"/>
    </xf>
    <xf numFmtId="164" fontId="0" fillId="0" borderId="13" xfId="0" applyNumberFormat="1" applyBorder="1" applyProtection="1">
      <protection locked="0"/>
    </xf>
    <xf numFmtId="164" fontId="0" fillId="0" borderId="53" xfId="0" applyNumberFormat="1" applyBorder="1" applyProtection="1">
      <protection locked="0"/>
    </xf>
    <xf numFmtId="164" fontId="0" fillId="0" borderId="22" xfId="0" applyNumberFormat="1" applyBorder="1" applyAlignment="1" applyProtection="1">
      <alignment horizontal="right"/>
      <protection locked="0"/>
    </xf>
    <xf numFmtId="164" fontId="0" fillId="0" borderId="19" xfId="0" applyNumberFormat="1" applyBorder="1" applyAlignment="1" applyProtection="1">
      <alignment horizontal="right"/>
      <protection locked="0"/>
    </xf>
    <xf numFmtId="0" fontId="5" fillId="4" borderId="6"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11" xfId="0" applyFont="1" applyFill="1" applyBorder="1" applyAlignment="1" applyProtection="1">
      <alignment horizontal="center"/>
      <protection hidden="1"/>
    </xf>
    <xf numFmtId="164" fontId="0" fillId="0" borderId="20" xfId="0" applyNumberFormat="1" applyBorder="1" applyAlignment="1" applyProtection="1">
      <alignment horizontal="center"/>
      <protection locked="0"/>
    </xf>
    <xf numFmtId="164" fontId="0" fillId="0" borderId="17" xfId="0" applyNumberFormat="1"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8" xfId="0" applyNumberFormat="1" applyBorder="1" applyAlignment="1" applyProtection="1">
      <alignment horizontal="right"/>
      <protection locked="0"/>
    </xf>
    <xf numFmtId="164" fontId="0" fillId="0" borderId="16" xfId="0" applyNumberFormat="1" applyBorder="1" applyAlignment="1" applyProtection="1">
      <alignment horizontal="right"/>
      <protection locked="0"/>
    </xf>
    <xf numFmtId="164" fontId="0" fillId="0" borderId="45" xfId="0" applyNumberFormat="1" applyBorder="1" applyAlignment="1" applyProtection="1">
      <alignment horizontal="right"/>
      <protection locked="0"/>
    </xf>
    <xf numFmtId="0" fontId="10" fillId="4" borderId="2" xfId="0" applyFont="1" applyFill="1" applyBorder="1" applyAlignment="1" applyProtection="1">
      <alignment horizontal="center"/>
      <protection hidden="1"/>
    </xf>
    <xf numFmtId="0" fontId="10" fillId="4" borderId="3" xfId="0" applyFont="1" applyFill="1" applyBorder="1" applyAlignment="1" applyProtection="1">
      <alignment horizontal="center"/>
      <protection hidden="1"/>
    </xf>
    <xf numFmtId="0" fontId="10" fillId="4" borderId="4" xfId="0" applyFont="1" applyFill="1" applyBorder="1" applyAlignment="1" applyProtection="1">
      <alignment horizontal="center"/>
      <protection hidden="1"/>
    </xf>
    <xf numFmtId="0" fontId="5" fillId="0" borderId="57" xfId="0" applyFont="1" applyBorder="1" applyAlignment="1" applyProtection="1">
      <alignment horizontal="left"/>
      <protection hidden="1"/>
    </xf>
    <xf numFmtId="0" fontId="5" fillId="0" borderId="26" xfId="0" applyFont="1" applyBorder="1" applyAlignment="1" applyProtection="1">
      <alignment horizontal="left"/>
      <protection hidden="1"/>
    </xf>
    <xf numFmtId="0" fontId="5" fillId="0" borderId="6"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1" fillId="18" borderId="7" xfId="0" applyFont="1" applyFill="1" applyBorder="1" applyAlignment="1" applyProtection="1">
      <alignment horizontal="left"/>
      <protection hidden="1"/>
    </xf>
    <xf numFmtId="0" fontId="1" fillId="18" borderId="29" xfId="0" applyFont="1" applyFill="1" applyBorder="1" applyAlignment="1" applyProtection="1">
      <alignment horizontal="left"/>
      <protection hidden="1"/>
    </xf>
    <xf numFmtId="0" fontId="1" fillId="18" borderId="0" xfId="0" applyFont="1" applyFill="1" applyAlignment="1" applyProtection="1">
      <alignment horizontal="left"/>
      <protection hidden="1"/>
    </xf>
    <xf numFmtId="0" fontId="33" fillId="18" borderId="7" xfId="0" applyFont="1" applyFill="1" applyBorder="1" applyAlignment="1" applyProtection="1">
      <alignment horizontal="center" wrapText="1"/>
      <protection hidden="1"/>
    </xf>
    <xf numFmtId="0" fontId="1" fillId="18" borderId="0" xfId="0" applyFont="1" applyFill="1" applyAlignment="1" applyProtection="1">
      <alignment horizontal="center" wrapText="1"/>
      <protection hidden="1"/>
    </xf>
    <xf numFmtId="165" fontId="34" fillId="18" borderId="0" xfId="0" applyNumberFormat="1" applyFont="1" applyFill="1" applyAlignment="1" applyProtection="1">
      <alignment horizontal="left"/>
      <protection hidden="1"/>
    </xf>
    <xf numFmtId="165" fontId="33" fillId="18" borderId="0" xfId="0" applyNumberFormat="1" applyFont="1" applyFill="1" applyAlignment="1" applyProtection="1">
      <alignment horizontal="left"/>
      <protection hidden="1"/>
    </xf>
    <xf numFmtId="165" fontId="33" fillId="18" borderId="8" xfId="0" applyNumberFormat="1" applyFont="1" applyFill="1" applyBorder="1" applyAlignment="1" applyProtection="1">
      <alignment horizontal="left"/>
      <protection hidden="1"/>
    </xf>
    <xf numFmtId="164" fontId="1" fillId="6" borderId="20" xfId="0" applyNumberFormat="1" applyFont="1" applyFill="1" applyBorder="1" applyAlignment="1" applyProtection="1">
      <alignment horizontal="center" shrinkToFit="1"/>
      <protection locked="0" hidden="1"/>
    </xf>
    <xf numFmtId="164" fontId="1" fillId="16" borderId="22" xfId="0" applyNumberFormat="1" applyFont="1" applyFill="1" applyBorder="1" applyAlignment="1" applyProtection="1">
      <alignment horizontal="center" shrinkToFit="1"/>
      <protection hidden="1"/>
    </xf>
    <xf numFmtId="0" fontId="15" fillId="18" borderId="0" xfId="0" applyFont="1" applyFill="1" applyAlignment="1" applyProtection="1">
      <alignment horizontal="center" vertical="center" wrapText="1"/>
      <protection hidden="1"/>
    </xf>
    <xf numFmtId="0" fontId="15" fillId="18" borderId="37" xfId="0" applyFont="1" applyFill="1" applyBorder="1" applyAlignment="1" applyProtection="1">
      <alignment horizontal="center" vertical="center" wrapText="1"/>
      <protection hidden="1"/>
    </xf>
    <xf numFmtId="0" fontId="5" fillId="18" borderId="0" xfId="0" applyFont="1" applyFill="1" applyAlignment="1" applyProtection="1">
      <alignment horizontal="center" vertical="center"/>
      <protection hidden="1"/>
    </xf>
    <xf numFmtId="0" fontId="5" fillId="18" borderId="37" xfId="0" applyFont="1" applyFill="1" applyBorder="1" applyAlignment="1" applyProtection="1">
      <alignment horizontal="center" vertical="center"/>
      <protection hidden="1"/>
    </xf>
    <xf numFmtId="164" fontId="1" fillId="16" borderId="20" xfId="0" applyNumberFormat="1" applyFont="1" applyFill="1" applyBorder="1" applyAlignment="1" applyProtection="1">
      <alignment horizontal="center" shrinkToFit="1"/>
      <protection hidden="1"/>
    </xf>
    <xf numFmtId="0" fontId="1" fillId="18" borderId="66" xfId="0" applyFont="1" applyFill="1" applyBorder="1" applyAlignment="1" applyProtection="1">
      <alignment horizontal="left"/>
      <protection hidden="1"/>
    </xf>
    <xf numFmtId="0" fontId="1" fillId="18" borderId="0" xfId="0" applyFont="1" applyFill="1" applyAlignment="1" applyProtection="1">
      <alignment horizontal="right"/>
      <protection hidden="1"/>
    </xf>
    <xf numFmtId="164" fontId="1" fillId="20" borderId="3" xfId="0" applyNumberFormat="1" applyFont="1" applyFill="1" applyBorder="1" applyAlignment="1" applyProtection="1">
      <alignment horizontal="right" vertical="center" shrinkToFit="1"/>
      <protection hidden="1"/>
    </xf>
    <xf numFmtId="164" fontId="1" fillId="20" borderId="4" xfId="0" applyNumberFormat="1" applyFont="1" applyFill="1" applyBorder="1" applyAlignment="1" applyProtection="1">
      <alignment horizontal="right" vertical="center" shrinkToFit="1"/>
      <protection hidden="1"/>
    </xf>
    <xf numFmtId="0" fontId="5" fillId="20" borderId="2" xfId="0" applyFont="1" applyFill="1" applyBorder="1" applyAlignment="1" applyProtection="1">
      <alignment horizontal="center" vertical="center"/>
      <protection hidden="1"/>
    </xf>
    <xf numFmtId="0" fontId="5" fillId="20" borderId="3" xfId="0" applyFont="1" applyFill="1" applyBorder="1" applyAlignment="1" applyProtection="1">
      <alignment horizontal="center" vertical="center"/>
      <protection hidden="1"/>
    </xf>
    <xf numFmtId="0" fontId="5" fillId="20" borderId="4" xfId="0" applyFont="1" applyFill="1" applyBorder="1" applyAlignment="1" applyProtection="1">
      <alignment horizontal="center" vertical="center"/>
      <protection hidden="1"/>
    </xf>
    <xf numFmtId="0" fontId="6" fillId="20" borderId="2" xfId="0" applyFont="1" applyFill="1" applyBorder="1" applyAlignment="1" applyProtection="1">
      <alignment horizontal="center" vertical="center"/>
      <protection hidden="1"/>
    </xf>
    <xf numFmtId="0" fontId="6" fillId="20" borderId="3" xfId="0" applyFont="1" applyFill="1" applyBorder="1" applyAlignment="1" applyProtection="1">
      <alignment horizontal="center" vertical="center"/>
      <protection hidden="1"/>
    </xf>
    <xf numFmtId="0" fontId="6" fillId="20" borderId="4" xfId="0" applyFont="1" applyFill="1" applyBorder="1" applyAlignment="1" applyProtection="1">
      <alignment horizontal="center" vertical="center"/>
      <protection hidden="1"/>
    </xf>
    <xf numFmtId="164" fontId="0" fillId="20" borderId="3" xfId="0" applyNumberFormat="1" applyFill="1" applyBorder="1" applyAlignment="1" applyProtection="1">
      <alignment horizontal="right" vertical="center" shrinkToFit="1"/>
      <protection hidden="1"/>
    </xf>
    <xf numFmtId="164" fontId="0" fillId="20" borderId="4" xfId="0" applyNumberFormat="1" applyFill="1" applyBorder="1" applyAlignment="1" applyProtection="1">
      <alignment horizontal="right" vertical="center" shrinkToFit="1"/>
      <protection hidden="1"/>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165" fontId="5" fillId="11" borderId="11" xfId="0" applyNumberFormat="1" applyFont="1" applyFill="1" applyBorder="1" applyAlignment="1">
      <alignment horizontal="center" vertical="top"/>
    </xf>
    <xf numFmtId="165" fontId="5" fillId="11" borderId="12" xfId="0" applyNumberFormat="1" applyFont="1" applyFill="1" applyBorder="1" applyAlignment="1">
      <alignment horizontal="center" vertical="top"/>
    </xf>
    <xf numFmtId="0" fontId="5" fillId="11" borderId="6" xfId="0" applyFont="1" applyFill="1" applyBorder="1" applyAlignment="1">
      <alignment horizontal="right" vertical="top"/>
    </xf>
    <xf numFmtId="0" fontId="5" fillId="11" borderId="5" xfId="0" applyFont="1" applyFill="1" applyBorder="1" applyAlignment="1">
      <alignment horizontal="right" vertical="top"/>
    </xf>
    <xf numFmtId="164" fontId="5" fillId="11" borderId="11" xfId="0" applyNumberFormat="1" applyFont="1" applyFill="1" applyBorder="1" applyAlignment="1">
      <alignment horizontal="center" vertical="top"/>
    </xf>
    <xf numFmtId="164" fontId="5" fillId="11" borderId="12" xfId="0" applyNumberFormat="1" applyFont="1" applyFill="1" applyBorder="1" applyAlignment="1">
      <alignment horizontal="center" vertical="top"/>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165" fontId="5" fillId="15" borderId="11" xfId="0" applyNumberFormat="1" applyFont="1" applyFill="1" applyBorder="1" applyAlignment="1">
      <alignment horizontal="center" vertical="top"/>
    </xf>
    <xf numFmtId="165" fontId="5" fillId="15" borderId="12" xfId="0" applyNumberFormat="1" applyFont="1" applyFill="1" applyBorder="1" applyAlignment="1">
      <alignment horizontal="center" vertical="top"/>
    </xf>
    <xf numFmtId="165" fontId="5" fillId="14" borderId="11" xfId="0" applyNumberFormat="1" applyFont="1" applyFill="1" applyBorder="1" applyAlignment="1">
      <alignment horizontal="center" vertical="top"/>
    </xf>
    <xf numFmtId="165" fontId="5" fillId="14" borderId="12" xfId="0" applyNumberFormat="1" applyFont="1" applyFill="1" applyBorder="1" applyAlignment="1">
      <alignment horizontal="center" vertical="top"/>
    </xf>
    <xf numFmtId="165" fontId="5" fillId="12" borderId="11" xfId="0" applyNumberFormat="1" applyFont="1" applyFill="1" applyBorder="1" applyAlignment="1">
      <alignment horizontal="center" vertical="top"/>
    </xf>
    <xf numFmtId="165" fontId="5" fillId="12" borderId="12" xfId="0" applyNumberFormat="1" applyFont="1" applyFill="1" applyBorder="1" applyAlignment="1">
      <alignment horizontal="center" vertical="top"/>
    </xf>
    <xf numFmtId="165" fontId="5" fillId="13" borderId="11" xfId="0" applyNumberFormat="1" applyFont="1" applyFill="1" applyBorder="1" applyAlignment="1">
      <alignment horizontal="center" vertical="top"/>
    </xf>
    <xf numFmtId="165" fontId="5" fillId="13" borderId="12" xfId="0" applyNumberFormat="1" applyFont="1" applyFill="1" applyBorder="1" applyAlignment="1">
      <alignment horizontal="center" vertical="top"/>
    </xf>
    <xf numFmtId="165" fontId="5" fillId="10" borderId="11" xfId="0" applyNumberFormat="1" applyFont="1" applyFill="1" applyBorder="1" applyAlignment="1">
      <alignment horizontal="center" vertical="top"/>
    </xf>
    <xf numFmtId="165" fontId="5" fillId="10" borderId="12" xfId="0" applyNumberFormat="1" applyFont="1" applyFill="1" applyBorder="1" applyAlignment="1">
      <alignment horizontal="center" vertical="top"/>
    </xf>
    <xf numFmtId="0" fontId="5" fillId="11" borderId="6" xfId="0" applyFont="1" applyFill="1" applyBorder="1" applyAlignment="1">
      <alignment horizontal="right"/>
    </xf>
    <xf numFmtId="0" fontId="5" fillId="11" borderId="5" xfId="0" applyFont="1" applyFill="1" applyBorder="1" applyAlignment="1">
      <alignment horizontal="right"/>
    </xf>
    <xf numFmtId="0" fontId="5" fillId="10" borderId="6" xfId="0" applyFont="1" applyFill="1" applyBorder="1" applyAlignment="1">
      <alignment horizontal="right"/>
    </xf>
    <xf numFmtId="0" fontId="5" fillId="10" borderId="5" xfId="0" applyFont="1" applyFill="1" applyBorder="1" applyAlignment="1">
      <alignment horizontal="right"/>
    </xf>
    <xf numFmtId="0" fontId="5" fillId="13" borderId="6" xfId="0" applyFont="1" applyFill="1" applyBorder="1" applyAlignment="1">
      <alignment horizontal="right"/>
    </xf>
    <xf numFmtId="0" fontId="5" fillId="13" borderId="5" xfId="0" applyFont="1" applyFill="1" applyBorder="1" applyAlignment="1">
      <alignment horizontal="right"/>
    </xf>
    <xf numFmtId="0" fontId="5" fillId="12" borderId="6" xfId="0" applyFont="1" applyFill="1" applyBorder="1" applyAlignment="1">
      <alignment horizontal="right"/>
    </xf>
    <xf numFmtId="0" fontId="5" fillId="12" borderId="5" xfId="0" applyFont="1" applyFill="1" applyBorder="1" applyAlignment="1">
      <alignment horizontal="right"/>
    </xf>
    <xf numFmtId="0" fontId="5" fillId="14" borderId="6" xfId="0" applyFont="1" applyFill="1" applyBorder="1" applyAlignment="1">
      <alignment horizontal="right"/>
    </xf>
    <xf numFmtId="0" fontId="5" fillId="14" borderId="5" xfId="0" applyFont="1" applyFill="1" applyBorder="1" applyAlignment="1">
      <alignment horizontal="right"/>
    </xf>
    <xf numFmtId="0" fontId="5" fillId="15" borderId="6" xfId="0" applyFont="1" applyFill="1" applyBorder="1" applyAlignment="1">
      <alignment horizontal="right"/>
    </xf>
    <xf numFmtId="0" fontId="5" fillId="15" borderId="5" xfId="0" applyFont="1" applyFill="1" applyBorder="1" applyAlignment="1">
      <alignment horizontal="right"/>
    </xf>
    <xf numFmtId="0" fontId="5" fillId="10" borderId="6" xfId="0" applyFont="1" applyFill="1" applyBorder="1" applyAlignment="1">
      <alignment horizontal="right" vertical="center"/>
    </xf>
    <xf numFmtId="0" fontId="5" fillId="10" borderId="5" xfId="0" applyFont="1" applyFill="1" applyBorder="1" applyAlignment="1">
      <alignment horizontal="right" vertical="center"/>
    </xf>
    <xf numFmtId="0" fontId="5" fillId="13" borderId="6" xfId="0" applyFont="1" applyFill="1" applyBorder="1" applyAlignment="1">
      <alignment horizontal="right" vertical="top"/>
    </xf>
    <xf numFmtId="0" fontId="5" fillId="13" borderId="5" xfId="0" applyFont="1" applyFill="1" applyBorder="1" applyAlignment="1">
      <alignment horizontal="right" vertical="top"/>
    </xf>
    <xf numFmtId="165" fontId="5" fillId="8" borderId="11" xfId="0" applyNumberFormat="1" applyFont="1" applyFill="1" applyBorder="1" applyAlignment="1">
      <alignment horizontal="center" vertical="top"/>
    </xf>
    <xf numFmtId="165" fontId="5" fillId="8" borderId="12" xfId="0" applyNumberFormat="1" applyFont="1" applyFill="1" applyBorder="1" applyAlignment="1">
      <alignment horizontal="center" vertical="top"/>
    </xf>
    <xf numFmtId="165" fontId="5" fillId="9" borderId="11" xfId="0" applyNumberFormat="1" applyFont="1" applyFill="1" applyBorder="1" applyAlignment="1">
      <alignment horizontal="center" vertical="top"/>
    </xf>
    <xf numFmtId="165" fontId="5" fillId="9" borderId="12" xfId="0" applyNumberFormat="1" applyFont="1" applyFill="1" applyBorder="1" applyAlignment="1">
      <alignment horizontal="center" vertical="top"/>
    </xf>
    <xf numFmtId="0" fontId="5" fillId="9" borderId="6" xfId="0" applyFont="1" applyFill="1" applyBorder="1" applyAlignment="1">
      <alignment horizontal="right"/>
    </xf>
    <xf numFmtId="0" fontId="5" fillId="9" borderId="5" xfId="0" applyFont="1" applyFill="1" applyBorder="1" applyAlignment="1">
      <alignment horizontal="right"/>
    </xf>
    <xf numFmtId="0" fontId="5" fillId="8" borderId="6" xfId="0" applyFont="1" applyFill="1" applyBorder="1" applyAlignment="1">
      <alignment horizontal="right"/>
    </xf>
    <xf numFmtId="0" fontId="5" fillId="8" borderId="5" xfId="0" applyFont="1" applyFill="1" applyBorder="1" applyAlignment="1">
      <alignment horizontal="right"/>
    </xf>
    <xf numFmtId="0" fontId="5" fillId="8" borderId="6" xfId="0" applyFont="1" applyFill="1" applyBorder="1" applyAlignment="1">
      <alignment horizontal="right" vertical="top"/>
    </xf>
    <xf numFmtId="0" fontId="5" fillId="8" borderId="5" xfId="0" applyFont="1" applyFill="1" applyBorder="1" applyAlignment="1">
      <alignment horizontal="right" vertical="top"/>
    </xf>
    <xf numFmtId="0" fontId="5" fillId="9" borderId="6" xfId="0" applyFont="1" applyFill="1" applyBorder="1" applyAlignment="1">
      <alignment horizontal="right" vertical="top"/>
    </xf>
    <xf numFmtId="0" fontId="5" fillId="9" borderId="5" xfId="0" applyFont="1" applyFill="1" applyBorder="1" applyAlignment="1">
      <alignment horizontal="right" vertical="top"/>
    </xf>
    <xf numFmtId="0" fontId="5" fillId="15" borderId="6" xfId="0" applyFont="1" applyFill="1" applyBorder="1" applyAlignment="1">
      <alignment horizontal="right" vertical="top"/>
    </xf>
    <xf numFmtId="0" fontId="5" fillId="15" borderId="5" xfId="0" applyFont="1" applyFill="1" applyBorder="1" applyAlignment="1">
      <alignment horizontal="right" vertical="top"/>
    </xf>
    <xf numFmtId="0" fontId="5" fillId="16" borderId="6" xfId="0" applyFont="1" applyFill="1" applyBorder="1" applyAlignment="1">
      <alignment horizontal="right" vertical="top"/>
    </xf>
    <xf numFmtId="0" fontId="5" fillId="16" borderId="5" xfId="0" applyFont="1" applyFill="1" applyBorder="1" applyAlignment="1">
      <alignment horizontal="right" vertical="top"/>
    </xf>
    <xf numFmtId="165" fontId="5" fillId="14" borderId="62" xfId="0" applyNumberFormat="1" applyFont="1" applyFill="1" applyBorder="1" applyAlignment="1">
      <alignment horizontal="center" vertical="top"/>
    </xf>
    <xf numFmtId="165" fontId="5" fillId="14" borderId="63" xfId="0" applyNumberFormat="1" applyFont="1" applyFill="1" applyBorder="1" applyAlignment="1">
      <alignment horizontal="center" vertical="top"/>
    </xf>
    <xf numFmtId="165" fontId="5" fillId="16" borderId="11" xfId="0" applyNumberFormat="1" applyFont="1" applyFill="1" applyBorder="1" applyAlignment="1">
      <alignment horizontal="center" vertical="top"/>
    </xf>
    <xf numFmtId="165" fontId="5" fillId="16" borderId="12" xfId="0" applyNumberFormat="1" applyFont="1" applyFill="1" applyBorder="1" applyAlignment="1">
      <alignment horizontal="center" vertical="top"/>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22" borderId="2" xfId="0" applyFont="1" applyFill="1" applyBorder="1" applyAlignment="1">
      <alignment horizontal="center" vertical="center" wrapText="1"/>
    </xf>
    <xf numFmtId="0" fontId="5" fillId="22" borderId="3" xfId="0" applyFont="1" applyFill="1" applyBorder="1" applyAlignment="1">
      <alignment horizontal="center" vertical="center" wrapText="1"/>
    </xf>
    <xf numFmtId="0" fontId="5" fillId="14" borderId="6" xfId="0" applyFont="1" applyFill="1" applyBorder="1" applyAlignment="1">
      <alignment horizontal="right" vertical="top"/>
    </xf>
    <xf numFmtId="0" fontId="5" fillId="14" borderId="5" xfId="0" applyFont="1" applyFill="1" applyBorder="1" applyAlignment="1">
      <alignment horizontal="right" vertical="top"/>
    </xf>
    <xf numFmtId="0" fontId="5" fillId="12" borderId="6" xfId="0" applyFont="1" applyFill="1" applyBorder="1" applyAlignment="1">
      <alignment horizontal="right" vertical="top"/>
    </xf>
    <xf numFmtId="0" fontId="5" fillId="12" borderId="5" xfId="0" applyFont="1" applyFill="1" applyBorder="1" applyAlignment="1">
      <alignment horizontal="right" vertical="top"/>
    </xf>
    <xf numFmtId="0" fontId="5" fillId="10" borderId="6" xfId="0" applyFont="1" applyFill="1" applyBorder="1" applyAlignment="1">
      <alignment horizontal="right" vertical="top"/>
    </xf>
    <xf numFmtId="0" fontId="5" fillId="10" borderId="5" xfId="0" applyFont="1" applyFill="1" applyBorder="1" applyAlignment="1">
      <alignment horizontal="right" vertical="top"/>
    </xf>
    <xf numFmtId="0" fontId="5" fillId="14" borderId="26" xfId="0" applyFont="1" applyFill="1" applyBorder="1" applyAlignment="1">
      <alignment horizontal="right" vertical="top"/>
    </xf>
    <xf numFmtId="0" fontId="5" fillId="14" borderId="25" xfId="0" applyFont="1" applyFill="1" applyBorder="1" applyAlignment="1">
      <alignment horizontal="right" vertical="top"/>
    </xf>
    <xf numFmtId="0" fontId="1" fillId="0" borderId="3" xfId="0" applyFont="1" applyBorder="1" applyAlignment="1">
      <alignment horizontal="center"/>
    </xf>
    <xf numFmtId="0" fontId="10" fillId="4" borderId="6" xfId="0" applyFont="1" applyFill="1" applyBorder="1" applyAlignment="1">
      <alignment horizontal="center"/>
    </xf>
    <xf numFmtId="0" fontId="10" fillId="4" borderId="5" xfId="0" applyFont="1" applyFill="1" applyBorder="1" applyAlignment="1">
      <alignment horizontal="center"/>
    </xf>
    <xf numFmtId="0" fontId="10" fillId="4" borderId="11" xfId="0" applyFont="1" applyFill="1" applyBorder="1" applyAlignment="1">
      <alignment horizontal="center"/>
    </xf>
    <xf numFmtId="0" fontId="0" fillId="25" borderId="0" xfId="0" applyFill="1"/>
    <xf numFmtId="0" fontId="0" fillId="19" borderId="0" xfId="0" applyFill="1"/>
    <xf numFmtId="0" fontId="0" fillId="6" borderId="40" xfId="0" applyFill="1" applyBorder="1" applyAlignment="1" applyProtection="1">
      <alignment shrinkToFit="1"/>
      <protection locked="0" hidden="1"/>
    </xf>
    <xf numFmtId="0" fontId="0" fillId="6" borderId="20" xfId="0" applyFill="1" applyBorder="1" applyAlignment="1" applyProtection="1">
      <alignment shrinkToFit="1"/>
      <protection locked="0" hidden="1"/>
    </xf>
    <xf numFmtId="14" fontId="0" fillId="0" borderId="67" xfId="0" applyNumberFormat="1" applyBorder="1" applyAlignment="1" applyProtection="1">
      <alignment horizontal="center"/>
      <protection hidden="1"/>
    </xf>
    <xf numFmtId="14" fontId="0" fillId="0" borderId="18" xfId="0" applyNumberFormat="1" applyBorder="1" applyAlignment="1" applyProtection="1">
      <alignment horizontal="center"/>
      <protection hidden="1"/>
    </xf>
    <xf numFmtId="0" fontId="0" fillId="6" borderId="49" xfId="0" applyFill="1" applyBorder="1" applyAlignment="1" applyProtection="1">
      <alignment shrinkToFit="1"/>
      <protection locked="0" hidden="1"/>
    </xf>
    <xf numFmtId="0" fontId="0" fillId="6" borderId="21" xfId="0" applyFill="1" applyBorder="1" applyAlignment="1" applyProtection="1">
      <alignment shrinkToFit="1"/>
      <protection locked="0" hidden="1"/>
    </xf>
    <xf numFmtId="14" fontId="0" fillId="0" borderId="59" xfId="0" applyNumberFormat="1" applyBorder="1" applyAlignment="1" applyProtection="1">
      <alignment horizontal="center"/>
      <protection hidden="1"/>
    </xf>
    <xf numFmtId="14" fontId="0" fillId="0" borderId="25" xfId="0" applyNumberFormat="1" applyBorder="1" applyAlignment="1" applyProtection="1">
      <alignment horizontal="center"/>
      <protection hidden="1"/>
    </xf>
    <xf numFmtId="0" fontId="0" fillId="6" borderId="54" xfId="0" applyFill="1" applyBorder="1" applyAlignment="1" applyProtection="1">
      <alignment horizontal="center" shrinkToFit="1"/>
      <protection locked="0" hidden="1"/>
    </xf>
    <xf numFmtId="0" fontId="0" fillId="6" borderId="14" xfId="0" applyFill="1" applyBorder="1" applyAlignment="1" applyProtection="1">
      <alignment horizontal="center" shrinkToFit="1"/>
      <protection locked="0" hidden="1"/>
    </xf>
    <xf numFmtId="0" fontId="0" fillId="6" borderId="42" xfId="0" applyFill="1" applyBorder="1" applyAlignment="1" applyProtection="1">
      <alignment horizontal="center" shrinkToFit="1"/>
      <protection locked="0" hidden="1"/>
    </xf>
    <xf numFmtId="0" fontId="0" fillId="6" borderId="69" xfId="0" applyFill="1" applyBorder="1" applyAlignment="1" applyProtection="1">
      <alignment shrinkToFit="1"/>
      <protection locked="0" hidden="1"/>
    </xf>
    <xf numFmtId="0" fontId="0" fillId="6" borderId="30" xfId="0" applyFill="1" applyBorder="1" applyAlignment="1" applyProtection="1">
      <alignment shrinkToFit="1"/>
      <protection locked="0" hidden="1"/>
    </xf>
    <xf numFmtId="0" fontId="48" fillId="20" borderId="2" xfId="0" applyFont="1" applyFill="1" applyBorder="1" applyAlignment="1" applyProtection="1">
      <alignment horizontal="center"/>
      <protection hidden="1"/>
    </xf>
    <xf numFmtId="0" fontId="48" fillId="20" borderId="3" xfId="0" applyFont="1" applyFill="1" applyBorder="1" applyAlignment="1" applyProtection="1">
      <alignment horizontal="center"/>
      <protection hidden="1"/>
    </xf>
    <xf numFmtId="0" fontId="48" fillId="20" borderId="4" xfId="0" applyFont="1" applyFill="1" applyBorder="1" applyAlignment="1" applyProtection="1">
      <alignment horizontal="center"/>
      <protection hidden="1"/>
    </xf>
    <xf numFmtId="0" fontId="0" fillId="0" borderId="6" xfId="0" applyBorder="1" applyAlignment="1" applyProtection="1">
      <alignment horizontal="center"/>
      <protection hidden="1"/>
    </xf>
    <xf numFmtId="0" fontId="0" fillId="0" borderId="5" xfId="0" applyBorder="1" applyAlignment="1" applyProtection="1">
      <alignment horizontal="center"/>
      <protection hidden="1"/>
    </xf>
    <xf numFmtId="0" fontId="0" fillId="0" borderId="11" xfId="0" applyBorder="1" applyAlignment="1" applyProtection="1">
      <alignment horizontal="center"/>
      <protection hidden="1"/>
    </xf>
    <xf numFmtId="0" fontId="1" fillId="0" borderId="9" xfId="0" applyFont="1" applyBorder="1" applyAlignment="1" applyProtection="1">
      <alignment horizontal="center" vertical="top" wrapText="1"/>
      <protection hidden="1"/>
    </xf>
    <xf numFmtId="0" fontId="0" fillId="0" borderId="10" xfId="0" applyBorder="1" applyAlignment="1" applyProtection="1">
      <alignment horizontal="center" vertical="top" wrapText="1"/>
      <protection hidden="1"/>
    </xf>
    <xf numFmtId="0" fontId="0" fillId="0" borderId="12" xfId="0" applyBorder="1" applyAlignment="1" applyProtection="1">
      <alignment horizontal="center" vertical="top" wrapText="1"/>
      <protection hidden="1"/>
    </xf>
    <xf numFmtId="0" fontId="0" fillId="6" borderId="60" xfId="0" applyFill="1" applyBorder="1" applyAlignment="1" applyProtection="1">
      <alignment shrinkToFit="1"/>
      <protection locked="0" hidden="1"/>
    </xf>
    <xf numFmtId="0" fontId="0" fillId="6" borderId="44" xfId="0" applyFill="1" applyBorder="1" applyAlignment="1" applyProtection="1">
      <alignment shrinkToFit="1"/>
      <protection locked="0" hidden="1"/>
    </xf>
    <xf numFmtId="0" fontId="0" fillId="6" borderId="32" xfId="0" applyFill="1" applyBorder="1" applyAlignment="1" applyProtection="1">
      <alignment shrinkToFit="1"/>
      <protection locked="0" hidden="1"/>
    </xf>
    <xf numFmtId="14" fontId="0" fillId="0" borderId="9" xfId="0" applyNumberFormat="1" applyBorder="1" applyAlignment="1" applyProtection="1">
      <alignment horizontal="center"/>
      <protection hidden="1"/>
    </xf>
    <xf numFmtId="14" fontId="0" fillId="0" borderId="10" xfId="0" applyNumberFormat="1" applyBorder="1" applyAlignment="1" applyProtection="1">
      <alignment horizontal="center"/>
      <protection hidden="1"/>
    </xf>
    <xf numFmtId="0" fontId="0" fillId="6" borderId="35" xfId="0" applyFill="1" applyBorder="1" applyAlignment="1" applyProtection="1">
      <alignment shrinkToFit="1"/>
      <protection locked="0" hidden="1"/>
    </xf>
    <xf numFmtId="0" fontId="0" fillId="6" borderId="47" xfId="0" applyFill="1" applyBorder="1" applyAlignment="1" applyProtection="1">
      <alignment shrinkToFit="1"/>
      <protection locked="0" hidden="1"/>
    </xf>
    <xf numFmtId="0" fontId="0" fillId="6" borderId="54" xfId="0" applyFill="1" applyBorder="1" applyAlignment="1" applyProtection="1">
      <alignment shrinkToFit="1"/>
      <protection locked="0" hidden="1"/>
    </xf>
    <xf numFmtId="0" fontId="0" fillId="6" borderId="14" xfId="0" applyFill="1" applyBorder="1" applyAlignment="1" applyProtection="1">
      <alignment shrinkToFit="1"/>
      <protection locked="0" hidden="1"/>
    </xf>
    <xf numFmtId="0" fontId="0" fillId="6" borderId="42" xfId="0" applyFill="1" applyBorder="1" applyAlignment="1" applyProtection="1">
      <alignment shrinkToFit="1"/>
      <protection locked="0" hidden="1"/>
    </xf>
    <xf numFmtId="0" fontId="1" fillId="6" borderId="69" xfId="0" applyFont="1" applyFill="1" applyBorder="1" applyAlignment="1" applyProtection="1">
      <alignment shrinkToFit="1"/>
      <protection locked="0" hidden="1"/>
    </xf>
    <xf numFmtId="0" fontId="1" fillId="0" borderId="10"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164" fontId="6" fillId="6" borderId="3" xfId="0" applyNumberFormat="1" applyFont="1" applyFill="1" applyBorder="1" applyAlignment="1" applyProtection="1">
      <alignment horizontal="right" vertical="center" shrinkToFit="1"/>
      <protection hidden="1"/>
    </xf>
    <xf numFmtId="164" fontId="6" fillId="6" borderId="4" xfId="0" applyNumberFormat="1" applyFont="1" applyFill="1" applyBorder="1" applyAlignment="1" applyProtection="1">
      <alignment horizontal="right" vertical="center" shrinkToFit="1"/>
      <protection hidden="1"/>
    </xf>
    <xf numFmtId="0" fontId="6" fillId="18" borderId="6" xfId="0" applyFont="1" applyFill="1" applyBorder="1" applyAlignment="1" applyProtection="1">
      <alignment horizontal="center" vertical="center" wrapText="1"/>
      <protection hidden="1"/>
    </xf>
    <xf numFmtId="0" fontId="6" fillId="18" borderId="5" xfId="0" applyFont="1" applyFill="1" applyBorder="1" applyAlignment="1" applyProtection="1">
      <alignment horizontal="center" vertical="center" wrapText="1"/>
      <protection hidden="1"/>
    </xf>
    <xf numFmtId="0" fontId="6" fillId="18" borderId="11" xfId="0" applyFont="1" applyFill="1" applyBorder="1" applyAlignment="1" applyProtection="1">
      <alignment horizontal="center" vertical="center" wrapText="1"/>
      <protection hidden="1"/>
    </xf>
    <xf numFmtId="0" fontId="13" fillId="0" borderId="9" xfId="0" applyFont="1" applyBorder="1" applyAlignment="1" applyProtection="1">
      <alignment horizontal="center" vertical="top"/>
      <protection hidden="1"/>
    </xf>
    <xf numFmtId="0" fontId="13" fillId="0" borderId="10" xfId="0" applyFont="1" applyBorder="1" applyAlignment="1" applyProtection="1">
      <alignment horizontal="center" vertical="top"/>
      <protection hidden="1"/>
    </xf>
    <xf numFmtId="0" fontId="13" fillId="0" borderId="12" xfId="0" applyFont="1" applyBorder="1" applyAlignment="1" applyProtection="1">
      <alignment horizontal="center" vertical="top"/>
      <protection hidden="1"/>
    </xf>
    <xf numFmtId="0" fontId="10" fillId="20" borderId="2" xfId="0" applyFont="1" applyFill="1" applyBorder="1" applyAlignment="1" applyProtection="1">
      <alignment horizontal="center"/>
      <protection hidden="1"/>
    </xf>
    <xf numFmtId="0" fontId="10" fillId="20" borderId="3" xfId="0" applyFont="1" applyFill="1" applyBorder="1" applyAlignment="1" applyProtection="1">
      <alignment horizontal="center"/>
      <protection hidden="1"/>
    </xf>
    <xf numFmtId="0" fontId="10" fillId="20" borderId="4" xfId="0" applyFont="1" applyFill="1" applyBorder="1" applyAlignment="1" applyProtection="1">
      <alignment horizontal="center"/>
      <protection hidden="1"/>
    </xf>
    <xf numFmtId="0" fontId="1" fillId="18" borderId="9" xfId="0" applyFont="1" applyFill="1" applyBorder="1" applyAlignment="1" applyProtection="1">
      <alignment horizontal="left"/>
      <protection hidden="1"/>
    </xf>
    <xf numFmtId="0" fontId="1" fillId="18" borderId="10" xfId="0" applyFont="1" applyFill="1" applyBorder="1" applyAlignment="1" applyProtection="1">
      <alignment horizontal="left"/>
      <protection hidden="1"/>
    </xf>
    <xf numFmtId="164" fontId="1" fillId="20" borderId="3" xfId="0" applyNumberFormat="1" applyFont="1" applyFill="1" applyBorder="1" applyAlignment="1" applyProtection="1">
      <alignment horizontal="right" vertical="center"/>
      <protection hidden="1"/>
    </xf>
    <xf numFmtId="164" fontId="1" fillId="20" borderId="4" xfId="0" applyNumberFormat="1" applyFont="1" applyFill="1" applyBorder="1" applyAlignment="1" applyProtection="1">
      <alignment horizontal="right" vertical="center"/>
      <protection hidden="1"/>
    </xf>
    <xf numFmtId="0" fontId="0" fillId="0" borderId="7" xfId="0" applyBorder="1" applyAlignment="1" applyProtection="1">
      <alignment horizontal="left"/>
      <protection hidden="1"/>
    </xf>
    <xf numFmtId="0" fontId="1" fillId="6" borderId="20"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26" xfId="0" applyFont="1" applyFill="1" applyBorder="1" applyAlignment="1" applyProtection="1">
      <alignment horizontal="center" vertical="top" wrapText="1"/>
      <protection locked="0"/>
    </xf>
    <xf numFmtId="0" fontId="1" fillId="6" borderId="25" xfId="0" applyFont="1" applyFill="1" applyBorder="1" applyAlignment="1" applyProtection="1">
      <alignment horizontal="center" vertical="top" wrapText="1"/>
      <protection locked="0"/>
    </xf>
    <xf numFmtId="0" fontId="1" fillId="6" borderId="62" xfId="0" applyFont="1" applyFill="1" applyBorder="1" applyAlignment="1" applyProtection="1">
      <alignment horizontal="center" vertical="top" wrapText="1"/>
      <protection locked="0"/>
    </xf>
    <xf numFmtId="0" fontId="1" fillId="6" borderId="66" xfId="0" applyFont="1" applyFill="1" applyBorder="1" applyAlignment="1" applyProtection="1">
      <alignment horizontal="center" vertical="top" wrapText="1"/>
      <protection locked="0"/>
    </xf>
    <xf numFmtId="0" fontId="1" fillId="6" borderId="0" xfId="0" applyFont="1" applyFill="1" applyAlignment="1" applyProtection="1">
      <alignment horizontal="center" vertical="top" wrapText="1"/>
      <protection locked="0"/>
    </xf>
    <xf numFmtId="0" fontId="1" fillId="6" borderId="29" xfId="0" applyFont="1" applyFill="1" applyBorder="1" applyAlignment="1" applyProtection="1">
      <alignment horizontal="center" vertical="top" wrapText="1"/>
      <protection locked="0"/>
    </xf>
    <xf numFmtId="0" fontId="1" fillId="6" borderId="64" xfId="0" applyFont="1" applyFill="1" applyBorder="1" applyAlignment="1" applyProtection="1">
      <alignment horizontal="center" vertical="top" wrapText="1"/>
      <protection locked="0"/>
    </xf>
    <xf numFmtId="0" fontId="1" fillId="6" borderId="37" xfId="0" applyFont="1" applyFill="1" applyBorder="1" applyAlignment="1" applyProtection="1">
      <alignment horizontal="center" vertical="top" wrapText="1"/>
      <protection locked="0"/>
    </xf>
    <xf numFmtId="0" fontId="1" fillId="6" borderId="63" xfId="0" applyFont="1" applyFill="1" applyBorder="1" applyAlignment="1" applyProtection="1">
      <alignment horizontal="center" vertical="top" wrapText="1"/>
      <protection locked="0"/>
    </xf>
    <xf numFmtId="0" fontId="1" fillId="20" borderId="2" xfId="0" applyFont="1" applyFill="1" applyBorder="1" applyAlignment="1" applyProtection="1">
      <alignment horizontal="left"/>
      <protection hidden="1"/>
    </xf>
    <xf numFmtId="0" fontId="1" fillId="20" borderId="3" xfId="0" applyFont="1" applyFill="1" applyBorder="1" applyAlignment="1" applyProtection="1">
      <alignment horizontal="left"/>
      <protection hidden="1"/>
    </xf>
    <xf numFmtId="0" fontId="0" fillId="20" borderId="2" xfId="0" applyFill="1" applyBorder="1" applyAlignment="1" applyProtection="1">
      <alignment horizontal="left"/>
      <protection hidden="1"/>
    </xf>
    <xf numFmtId="0" fontId="0" fillId="20" borderId="3" xfId="0" applyFill="1" applyBorder="1" applyAlignment="1" applyProtection="1">
      <alignment horizontal="left"/>
      <protection hidden="1"/>
    </xf>
    <xf numFmtId="0" fontId="9" fillId="6" borderId="20" xfId="0" applyFont="1" applyFill="1" applyBorder="1" applyAlignment="1" applyProtection="1">
      <alignment horizontal="left" vertical="top" wrapText="1"/>
      <protection locked="0"/>
    </xf>
    <xf numFmtId="0" fontId="0" fillId="26" borderId="0" xfId="0" applyFill="1"/>
    <xf numFmtId="0" fontId="49" fillId="0" borderId="67" xfId="0" applyFont="1" applyBorder="1" applyAlignment="1" applyProtection="1">
      <alignment horizontal="center"/>
      <protection hidden="1"/>
    </xf>
    <xf numFmtId="0" fontId="49" fillId="0" borderId="18" xfId="0" applyFont="1" applyBorder="1" applyAlignment="1" applyProtection="1">
      <alignment horizontal="center"/>
      <protection hidden="1"/>
    </xf>
    <xf numFmtId="0" fontId="1" fillId="6" borderId="60" xfId="0" applyFont="1" applyFill="1" applyBorder="1" applyAlignment="1" applyProtection="1">
      <alignment horizontal="center" shrinkToFit="1"/>
      <protection locked="0" hidden="1"/>
    </xf>
    <xf numFmtId="0" fontId="1" fillId="6" borderId="44" xfId="0" applyFont="1" applyFill="1" applyBorder="1" applyAlignment="1" applyProtection="1">
      <alignment horizontal="center" shrinkToFit="1"/>
      <protection locked="0" hidden="1"/>
    </xf>
    <xf numFmtId="0" fontId="1" fillId="6" borderId="32" xfId="0" applyFont="1" applyFill="1" applyBorder="1" applyAlignment="1" applyProtection="1">
      <alignment horizontal="center" shrinkToFit="1"/>
      <protection locked="0" hidden="1"/>
    </xf>
    <xf numFmtId="0" fontId="0" fillId="6" borderId="40" xfId="0" applyFill="1" applyBorder="1" applyAlignment="1" applyProtection="1">
      <alignment horizontal="center" shrinkToFit="1"/>
      <protection locked="0" hidden="1"/>
    </xf>
    <xf numFmtId="0" fontId="0" fillId="6" borderId="20" xfId="0" applyFill="1" applyBorder="1" applyAlignment="1" applyProtection="1">
      <alignment horizontal="center" shrinkToFit="1"/>
      <protection locked="0" hidden="1"/>
    </xf>
    <xf numFmtId="0" fontId="1" fillId="0" borderId="9" xfId="0" applyFont="1" applyBorder="1" applyAlignment="1" applyProtection="1">
      <alignment horizontal="center"/>
      <protection hidden="1"/>
    </xf>
    <xf numFmtId="0" fontId="0" fillId="0" borderId="10" xfId="0" applyBorder="1" applyAlignment="1" applyProtection="1">
      <alignment horizontal="center"/>
      <protection hidden="1"/>
    </xf>
    <xf numFmtId="0" fontId="1" fillId="6" borderId="69" xfId="0" applyFont="1" applyFill="1" applyBorder="1" applyAlignment="1" applyProtection="1">
      <alignment horizontal="center" shrinkToFit="1"/>
      <protection locked="0" hidden="1"/>
    </xf>
    <xf numFmtId="0" fontId="1" fillId="6" borderId="30" xfId="0" applyFont="1" applyFill="1" applyBorder="1" applyAlignment="1" applyProtection="1">
      <alignment horizontal="center" shrinkToFit="1"/>
      <protection locked="0" hidden="1"/>
    </xf>
    <xf numFmtId="0" fontId="1" fillId="6" borderId="40" xfId="0" applyFont="1" applyFill="1" applyBorder="1" applyAlignment="1" applyProtection="1">
      <alignment horizontal="center" shrinkToFit="1"/>
      <protection locked="0" hidden="1"/>
    </xf>
    <xf numFmtId="0" fontId="1" fillId="6" borderId="20" xfId="0" applyFont="1" applyFill="1" applyBorder="1" applyAlignment="1" applyProtection="1">
      <alignment horizontal="center" shrinkToFit="1"/>
      <protection locked="0" hidden="1"/>
    </xf>
    <xf numFmtId="0" fontId="1" fillId="6" borderId="51" xfId="0" applyFont="1" applyFill="1" applyBorder="1" applyAlignment="1" applyProtection="1">
      <alignment horizontal="center" shrinkToFit="1"/>
      <protection locked="0" hidden="1"/>
    </xf>
    <xf numFmtId="0" fontId="0" fillId="6" borderId="37" xfId="0" applyFill="1" applyBorder="1" applyAlignment="1" applyProtection="1">
      <alignment horizontal="center" shrinkToFit="1"/>
      <protection locked="0" hidden="1"/>
    </xf>
    <xf numFmtId="0" fontId="0" fillId="6" borderId="63" xfId="0" applyFill="1" applyBorder="1" applyAlignment="1" applyProtection="1">
      <alignment horizontal="center" shrinkToFit="1"/>
      <protection locked="0" hidden="1"/>
    </xf>
    <xf numFmtId="0" fontId="0" fillId="6" borderId="30" xfId="0" applyFill="1" applyBorder="1" applyAlignment="1" applyProtection="1">
      <alignment horizontal="center" shrinkToFit="1"/>
      <protection locked="0" hidden="1"/>
    </xf>
    <xf numFmtId="0" fontId="1" fillId="0" borderId="10" xfId="0" applyFont="1" applyBorder="1" applyAlignment="1" applyProtection="1">
      <alignment horizontal="center"/>
      <protection hidden="1"/>
    </xf>
    <xf numFmtId="0" fontId="1" fillId="6" borderId="54" xfId="0" applyFont="1" applyFill="1" applyBorder="1" applyAlignment="1" applyProtection="1">
      <alignment horizontal="center" shrinkToFit="1"/>
      <protection locked="0" hidden="1"/>
    </xf>
    <xf numFmtId="0" fontId="1" fillId="6" borderId="14" xfId="0" applyFont="1" applyFill="1" applyBorder="1" applyAlignment="1" applyProtection="1">
      <alignment horizontal="center" shrinkToFit="1"/>
      <protection locked="0" hidden="1"/>
    </xf>
    <xf numFmtId="0" fontId="1" fillId="6" borderId="42" xfId="0" applyFont="1" applyFill="1" applyBorder="1" applyAlignment="1" applyProtection="1">
      <alignment horizontal="center" shrinkToFit="1"/>
      <protection locked="0" hidden="1"/>
    </xf>
    <xf numFmtId="0" fontId="1" fillId="6" borderId="26" xfId="0" applyFont="1" applyFill="1" applyBorder="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62" xfId="0" applyFont="1" applyFill="1" applyBorder="1" applyAlignment="1" applyProtection="1">
      <alignment horizontal="left" vertical="top" wrapText="1"/>
      <protection locked="0"/>
    </xf>
    <xf numFmtId="0" fontId="1" fillId="6" borderId="66" xfId="0" applyFont="1" applyFill="1" applyBorder="1" applyAlignment="1" applyProtection="1">
      <alignment horizontal="left" vertical="top" wrapText="1"/>
      <protection locked="0"/>
    </xf>
    <xf numFmtId="0" fontId="1" fillId="6" borderId="0" xfId="0" applyFont="1" applyFill="1" applyAlignment="1" applyProtection="1">
      <alignment horizontal="left" vertical="top" wrapText="1"/>
      <protection locked="0"/>
    </xf>
    <xf numFmtId="0" fontId="1" fillId="6" borderId="29" xfId="0" applyFont="1" applyFill="1" applyBorder="1" applyAlignment="1" applyProtection="1">
      <alignment horizontal="left" vertical="top" wrapText="1"/>
      <protection locked="0"/>
    </xf>
    <xf numFmtId="0" fontId="1" fillId="6" borderId="64" xfId="0" applyFont="1" applyFill="1" applyBorder="1" applyAlignment="1" applyProtection="1">
      <alignment horizontal="left" vertical="top" wrapText="1"/>
      <protection locked="0"/>
    </xf>
    <xf numFmtId="0" fontId="1" fillId="6" borderId="37" xfId="0" applyFont="1" applyFill="1" applyBorder="1" applyAlignment="1" applyProtection="1">
      <alignment horizontal="left" vertical="top" wrapText="1"/>
      <protection locked="0"/>
    </xf>
    <xf numFmtId="0" fontId="1" fillId="6" borderId="63" xfId="0" applyFont="1" applyFill="1" applyBorder="1" applyAlignment="1" applyProtection="1">
      <alignment horizontal="left" vertical="top" wrapText="1"/>
      <protection locked="0"/>
    </xf>
    <xf numFmtId="0" fontId="5" fillId="18" borderId="7" xfId="0" applyFont="1" applyFill="1" applyBorder="1" applyAlignment="1" applyProtection="1">
      <alignment horizontal="left"/>
      <protection hidden="1"/>
    </xf>
    <xf numFmtId="0" fontId="5" fillId="18" borderId="29" xfId="0" applyFont="1" applyFill="1" applyBorder="1" applyAlignment="1" applyProtection="1">
      <alignment horizontal="left"/>
      <protection hidden="1"/>
    </xf>
    <xf numFmtId="0" fontId="0" fillId="18" borderId="7" xfId="0" applyFill="1" applyBorder="1" applyAlignment="1" applyProtection="1">
      <alignment horizontal="left"/>
      <protection hidden="1"/>
    </xf>
    <xf numFmtId="0" fontId="0" fillId="18" borderId="29" xfId="0" applyFill="1" applyBorder="1" applyAlignment="1" applyProtection="1">
      <alignment horizontal="left"/>
      <protection hidden="1"/>
    </xf>
    <xf numFmtId="0" fontId="1" fillId="6" borderId="2" xfId="0" applyFont="1" applyFill="1" applyBorder="1" applyAlignment="1" applyProtection="1">
      <alignment horizontal="left"/>
      <protection hidden="1"/>
    </xf>
    <xf numFmtId="0" fontId="1" fillId="6" borderId="3" xfId="0" applyFont="1" applyFill="1" applyBorder="1" applyAlignment="1" applyProtection="1">
      <alignment horizontal="left"/>
      <protection hidden="1"/>
    </xf>
    <xf numFmtId="0" fontId="5" fillId="18" borderId="37" xfId="0" applyFont="1" applyFill="1" applyBorder="1" applyAlignment="1" applyProtection="1">
      <alignment horizontal="center"/>
      <protection hidden="1"/>
    </xf>
    <xf numFmtId="0" fontId="1" fillId="6" borderId="2" xfId="0" applyFont="1" applyFill="1" applyBorder="1" applyAlignment="1" applyProtection="1">
      <alignment horizontal="left" vertical="center"/>
      <protection hidden="1"/>
    </xf>
    <xf numFmtId="0" fontId="1" fillId="6" borderId="3" xfId="0" applyFont="1" applyFill="1" applyBorder="1" applyAlignment="1" applyProtection="1">
      <alignment horizontal="left" vertical="center"/>
      <protection hidden="1"/>
    </xf>
    <xf numFmtId="0" fontId="4" fillId="6" borderId="13" xfId="0" applyFont="1" applyFill="1" applyBorder="1" applyAlignment="1" applyProtection="1">
      <alignment horizontal="center"/>
      <protection locked="0" hidden="1"/>
    </xf>
    <xf numFmtId="0" fontId="4" fillId="6" borderId="14" xfId="0" applyFont="1" applyFill="1" applyBorder="1" applyAlignment="1" applyProtection="1">
      <alignment horizontal="center"/>
      <protection locked="0" hidden="1"/>
    </xf>
    <xf numFmtId="0" fontId="4" fillId="6" borderId="42" xfId="0" applyFont="1" applyFill="1" applyBorder="1" applyAlignment="1" applyProtection="1">
      <alignment horizontal="center"/>
      <protection locked="0" hidden="1"/>
    </xf>
    <xf numFmtId="0" fontId="13" fillId="18" borderId="2" xfId="0" applyFont="1" applyFill="1" applyBorder="1" applyAlignment="1" applyProtection="1">
      <alignment horizontal="center" vertical="center"/>
      <protection hidden="1"/>
    </xf>
    <xf numFmtId="0" fontId="13" fillId="18" borderId="3" xfId="0" applyFont="1" applyFill="1" applyBorder="1" applyAlignment="1" applyProtection="1">
      <alignment horizontal="center" vertical="center"/>
      <protection hidden="1"/>
    </xf>
    <xf numFmtId="0" fontId="13" fillId="18" borderId="4" xfId="0" applyFont="1" applyFill="1" applyBorder="1" applyAlignment="1" applyProtection="1">
      <alignment horizontal="center" vertical="center"/>
      <protection hidden="1"/>
    </xf>
    <xf numFmtId="0" fontId="13" fillId="18" borderId="7" xfId="0" applyFont="1" applyFill="1" applyBorder="1" applyAlignment="1" applyProtection="1">
      <alignment horizontal="left"/>
      <protection hidden="1"/>
    </xf>
    <xf numFmtId="0" fontId="13" fillId="18" borderId="0" xfId="0" applyFont="1" applyFill="1" applyAlignment="1" applyProtection="1">
      <alignment horizontal="left"/>
      <protection hidden="1"/>
    </xf>
    <xf numFmtId="0" fontId="6" fillId="20" borderId="2" xfId="0" applyFont="1" applyFill="1" applyBorder="1" applyAlignment="1" applyProtection="1">
      <alignment horizontal="center"/>
      <protection hidden="1"/>
    </xf>
    <xf numFmtId="0" fontId="6" fillId="20" borderId="3" xfId="0" applyFont="1" applyFill="1" applyBorder="1" applyAlignment="1" applyProtection="1">
      <alignment horizontal="center"/>
      <protection hidden="1"/>
    </xf>
    <xf numFmtId="0" fontId="6" fillId="20" borderId="4" xfId="0" applyFont="1" applyFill="1" applyBorder="1" applyAlignment="1" applyProtection="1">
      <alignment horizontal="center"/>
      <protection hidden="1"/>
    </xf>
    <xf numFmtId="0" fontId="28" fillId="18" borderId="2" xfId="0" applyFont="1" applyFill="1" applyBorder="1" applyAlignment="1" applyProtection="1">
      <alignment horizontal="center" vertical="center"/>
      <protection hidden="1"/>
    </xf>
    <xf numFmtId="0" fontId="28" fillId="18" borderId="3" xfId="0" applyFont="1" applyFill="1" applyBorder="1" applyAlignment="1" applyProtection="1">
      <alignment horizontal="center" vertical="center"/>
      <protection hidden="1"/>
    </xf>
    <xf numFmtId="0" fontId="28" fillId="18" borderId="4" xfId="0" applyFont="1" applyFill="1" applyBorder="1" applyAlignment="1" applyProtection="1">
      <alignment horizontal="center" vertical="center"/>
      <protection hidden="1"/>
    </xf>
    <xf numFmtId="0" fontId="0" fillId="18" borderId="0" xfId="0" applyFill="1" applyAlignment="1" applyProtection="1">
      <alignment horizontal="left"/>
      <protection hidden="1"/>
    </xf>
  </cellXfs>
  <cellStyles count="10">
    <cellStyle name="Currency" xfId="1" builtinId="4"/>
    <cellStyle name="Hyperlink" xfId="8" builtinId="8"/>
    <cellStyle name="Normal" xfId="0" builtinId="0"/>
    <cellStyle name="Normal 2" xfId="2" xr:uid="{00000000-0005-0000-0000-000003000000}"/>
    <cellStyle name="Normal 2 2" xfId="5" xr:uid="{00000000-0005-0000-0000-000004000000}"/>
    <cellStyle name="Normal 2 3" xfId="6" xr:uid="{00000000-0005-0000-0000-000005000000}"/>
    <cellStyle name="Normal 2 4" xfId="7" xr:uid="{00000000-0005-0000-0000-000006000000}"/>
    <cellStyle name="Normal 3" xfId="3" xr:uid="{00000000-0005-0000-0000-000007000000}"/>
    <cellStyle name="Normal 4" xfId="4" xr:uid="{00000000-0005-0000-0000-000008000000}"/>
    <cellStyle name="Percent" xfId="9" builtinId="5"/>
  </cellStyles>
  <dxfs count="31">
    <dxf>
      <font>
        <condense val="0"/>
        <extend val="0"/>
        <color indexed="43"/>
      </font>
    </dxf>
    <dxf>
      <fill>
        <patternFill patternType="solid">
          <fgColor rgb="FFFF0000"/>
          <bgColor rgb="FFFFFF00"/>
        </patternFill>
      </fill>
    </dxf>
    <dxf>
      <fill>
        <patternFill>
          <bgColor indexed="13"/>
        </patternFill>
      </fill>
    </dxf>
    <dxf>
      <fill>
        <patternFill>
          <bgColor rgb="FFFCF305"/>
        </patternFill>
      </fill>
    </dxf>
    <dxf>
      <font>
        <b val="0"/>
        <i val="0"/>
        <strike val="0"/>
        <u val="none"/>
        <color auto="1"/>
      </font>
      <numFmt numFmtId="174" formatCode="&quot;Do Not Leave Blank&quot;"/>
      <fill>
        <patternFill>
          <bgColor indexed="13"/>
        </patternFill>
      </fill>
    </dxf>
    <dxf>
      <fill>
        <patternFill>
          <bgColor rgb="FFFCF305"/>
        </patternFill>
      </fill>
    </dxf>
    <dxf>
      <fill>
        <patternFill>
          <bgColor rgb="FFFCF305"/>
        </patternFill>
      </fill>
    </dxf>
    <dxf>
      <fill>
        <patternFill>
          <bgColor rgb="FFFCF305"/>
        </patternFill>
      </fill>
    </dxf>
    <dxf>
      <fill>
        <patternFill>
          <bgColor rgb="FFFCF305"/>
        </patternFill>
      </fill>
    </dxf>
    <dxf>
      <fill>
        <patternFill>
          <bgColor rgb="FFFCF305"/>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strike val="0"/>
        <condense val="0"/>
        <extend val="0"/>
        <color auto="1"/>
      </font>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CF305"/>
      <color rgb="FFA9D5AB"/>
      <color rgb="FFFF7C80"/>
      <color rgb="FFFF9999"/>
      <color rgb="FF1D3047"/>
      <color rgb="FFFFCC99"/>
      <color rgb="FFCC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9</xdr:row>
          <xdr:rowOff>7620</xdr:rowOff>
        </xdr:from>
        <xdr:to>
          <xdr:col>5</xdr:col>
          <xdr:colOff>0</xdr:colOff>
          <xdr:row>11</xdr:row>
          <xdr:rowOff>213360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Cost Proposal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640080</xdr:colOff>
          <xdr:row>9</xdr:row>
          <xdr:rowOff>7620</xdr:rowOff>
        </xdr:from>
        <xdr:to>
          <xdr:col>9</xdr:col>
          <xdr:colOff>784860</xdr:colOff>
          <xdr:row>12</xdr:row>
          <xdr:rowOff>0</xdr:rowOff>
        </xdr:to>
        <xdr:sp macro="" textlink="">
          <xdr:nvSpPr>
            <xdr:cNvPr id="6149" name="Button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Payment Request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213360</xdr:rowOff>
        </xdr:from>
        <xdr:to>
          <xdr:col>5</xdr:col>
          <xdr:colOff>0</xdr:colOff>
          <xdr:row>18</xdr:row>
          <xdr:rowOff>0</xdr:rowOff>
        </xdr:to>
        <xdr:sp macro="" textlink="">
          <xdr:nvSpPr>
            <xdr:cNvPr id="6150" name="Button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Basis for Unit Rates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678180</xdr:colOff>
          <xdr:row>15</xdr:row>
          <xdr:rowOff>7620</xdr:rowOff>
        </xdr:from>
        <xdr:to>
          <xdr:col>10</xdr:col>
          <xdr:colOff>7620</xdr:colOff>
          <xdr:row>18</xdr:row>
          <xdr:rowOff>0</xdr:rowOff>
        </xdr:to>
        <xdr:sp macro="" textlink="">
          <xdr:nvSpPr>
            <xdr:cNvPr id="6151" name="Button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Maximum Allowable</a:t>
              </a:r>
            </a:p>
            <a:p>
              <a:pPr algn="ctr" rtl="0">
                <a:defRPr sz="1000"/>
              </a:pPr>
              <a:r>
                <a:rPr lang="en-US" sz="1000" b="0" i="0" u="none" strike="noStrike" baseline="0">
                  <a:solidFill>
                    <a:srgbClr val="000000"/>
                  </a:solidFill>
                  <a:latin typeface="Arial"/>
                  <a:cs typeface="Arial"/>
                </a:rPr>
                <a:t>Rates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302029</xdr:colOff>
      <xdr:row>1</xdr:row>
      <xdr:rowOff>30480</xdr:rowOff>
    </xdr:from>
    <xdr:to>
      <xdr:col>0</xdr:col>
      <xdr:colOff>667789</xdr:colOff>
      <xdr:row>5</xdr:row>
      <xdr:rowOff>213360</xdr:rowOff>
    </xdr:to>
    <xdr:pic>
      <xdr:nvPicPr>
        <xdr:cNvPr id="15369" name="Picture 8" descr="ADEM_White">
          <a:extLst>
            <a:ext uri="{FF2B5EF4-FFF2-40B4-BE49-F238E27FC236}">
              <a16:creationId xmlns:a16="http://schemas.microsoft.com/office/drawing/2014/main" id="{00000000-0008-0000-0200-0000093C0000}"/>
            </a:ext>
          </a:extLst>
        </xdr:cNvPr>
        <xdr:cNvPicPr preferRelativeResize="0">
          <a:picLocks noChangeArrowheads="1"/>
        </xdr:cNvPicPr>
      </xdr:nvPicPr>
      <xdr:blipFill>
        <a:blip xmlns:r="http://schemas.openxmlformats.org/officeDocument/2006/relationships" r:embed="rId1">
          <a:lum bright="6000"/>
        </a:blip>
        <a:stretch>
          <a:fillRect/>
        </a:stretch>
      </xdr:blipFill>
      <xdr:spPr bwMode="auto">
        <a:xfrm>
          <a:off x="302029" y="266007"/>
          <a:ext cx="365760" cy="1097280"/>
        </a:xfrm>
        <a:prstGeom prst="rect">
          <a:avLst/>
        </a:prstGeom>
        <a:noFill/>
        <a:ln w="9525">
          <a:noFill/>
          <a:miter lim="800000"/>
          <a:headEnd/>
          <a:tailEnd/>
        </a:ln>
      </xdr:spPr>
    </xdr:pic>
    <xdr:clientData fLocksWithSheet="0" fPrintsWithSheet="0"/>
  </xdr:twoCellAnchor>
  <mc:AlternateContent xmlns:mc="http://schemas.openxmlformats.org/markup-compatibility/2006">
    <mc:Choice xmlns:a14="http://schemas.microsoft.com/office/drawing/2010/main" Requires="a14">
      <xdr:twoCellAnchor editAs="absolute">
        <xdr:from>
          <xdr:col>0</xdr:col>
          <xdr:colOff>152400</xdr:colOff>
          <xdr:row>9</xdr:row>
          <xdr:rowOff>22860</xdr:rowOff>
        </xdr:from>
        <xdr:to>
          <xdr:col>0</xdr:col>
          <xdr:colOff>807720</xdr:colOff>
          <xdr:row>10</xdr:row>
          <xdr:rowOff>480060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Contents of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121920</xdr:colOff>
          <xdr:row>13</xdr:row>
          <xdr:rowOff>251460</xdr:rowOff>
        </xdr:from>
        <xdr:to>
          <xdr:col>0</xdr:col>
          <xdr:colOff>838200</xdr:colOff>
          <xdr:row>15</xdr:row>
          <xdr:rowOff>114300</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Create PDF of CP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137160</xdr:colOff>
          <xdr:row>10</xdr:row>
          <xdr:rowOff>594360</xdr:rowOff>
        </xdr:from>
        <xdr:to>
          <xdr:col>0</xdr:col>
          <xdr:colOff>830580</xdr:colOff>
          <xdr:row>13</xdr:row>
          <xdr:rowOff>137160</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CP Part II Summary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16</xdr:row>
          <xdr:rowOff>22860</xdr:rowOff>
        </xdr:from>
        <xdr:to>
          <xdr:col>0</xdr:col>
          <xdr:colOff>830580</xdr:colOff>
          <xdr:row>18</xdr:row>
          <xdr:rowOff>152400</xdr:rowOff>
        </xdr:to>
        <xdr:sp macro="" textlink="">
          <xdr:nvSpPr>
            <xdr:cNvPr id="15368" name="Button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 to Entire CP</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259086</xdr:colOff>
      <xdr:row>0</xdr:row>
      <xdr:rowOff>213365</xdr:rowOff>
    </xdr:from>
    <xdr:to>
      <xdr:col>0</xdr:col>
      <xdr:colOff>624846</xdr:colOff>
      <xdr:row>5</xdr:row>
      <xdr:rowOff>190505</xdr:rowOff>
    </xdr:to>
    <xdr:pic>
      <xdr:nvPicPr>
        <xdr:cNvPr id="16391" name="Picture 8" descr="ADEM_White">
          <a:extLst>
            <a:ext uri="{FF2B5EF4-FFF2-40B4-BE49-F238E27FC236}">
              <a16:creationId xmlns:a16="http://schemas.microsoft.com/office/drawing/2014/main" id="{00000000-0008-0000-0300-00000740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259086" y="213365"/>
          <a:ext cx="365760" cy="1097280"/>
        </a:xfrm>
        <a:prstGeom prst="rect">
          <a:avLst/>
        </a:prstGeom>
        <a:noFill/>
        <a:ln w="9525">
          <a:noFill/>
          <a:miter lim="800000"/>
          <a:headEnd/>
          <a:tailEnd/>
        </a:ln>
      </xdr:spPr>
    </xdr:pic>
    <xdr:clientData fLocksWithSheet="0" fPrintsWithSheet="0"/>
  </xdr:twoCellAnchor>
  <mc:AlternateContent xmlns:mc="http://schemas.openxmlformats.org/markup-compatibility/2006">
    <mc:Choice xmlns:a14="http://schemas.microsoft.com/office/drawing/2010/main" Requires="a14">
      <xdr:twoCellAnchor editAs="absolute">
        <xdr:from>
          <xdr:col>0</xdr:col>
          <xdr:colOff>121920</xdr:colOff>
          <xdr:row>13</xdr:row>
          <xdr:rowOff>0</xdr:rowOff>
        </xdr:from>
        <xdr:to>
          <xdr:col>0</xdr:col>
          <xdr:colOff>762000</xdr:colOff>
          <xdr:row>16</xdr:row>
          <xdr:rowOff>114300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Contents of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17</xdr:row>
          <xdr:rowOff>121920</xdr:rowOff>
        </xdr:from>
        <xdr:to>
          <xdr:col>0</xdr:col>
          <xdr:colOff>754380</xdr:colOff>
          <xdr:row>20</xdr:row>
          <xdr:rowOff>99060</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 to Entire CP</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0</xdr:col>
      <xdr:colOff>266700</xdr:colOff>
      <xdr:row>1</xdr:row>
      <xdr:rowOff>38095</xdr:rowOff>
    </xdr:from>
    <xdr:to>
      <xdr:col>0</xdr:col>
      <xdr:colOff>632460</xdr:colOff>
      <xdr:row>5</xdr:row>
      <xdr:rowOff>148585</xdr:rowOff>
    </xdr:to>
    <xdr:pic>
      <xdr:nvPicPr>
        <xdr:cNvPr id="2059" name="Picture 8" descr="ADEM_White">
          <a:extLst>
            <a:ext uri="{FF2B5EF4-FFF2-40B4-BE49-F238E27FC236}">
              <a16:creationId xmlns:a16="http://schemas.microsoft.com/office/drawing/2014/main" id="{00000000-0008-0000-0400-00000B08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266700" y="274315"/>
          <a:ext cx="365760" cy="1097280"/>
        </a:xfrm>
        <a:prstGeom prst="rect">
          <a:avLst/>
        </a:prstGeom>
        <a:noFill/>
        <a:ln w="9525">
          <a:noFill/>
          <a:miter lim="800000"/>
          <a:headEnd/>
          <a:tailEnd/>
        </a:ln>
      </xdr:spPr>
    </xdr:pic>
    <xdr:clientData fLocksWithSheet="0" fPrintsWithSheet="0"/>
  </xdr:twoCellAnchor>
  <mc:AlternateContent xmlns:mc="http://schemas.openxmlformats.org/markup-compatibility/2006">
    <mc:Choice xmlns:a14="http://schemas.microsoft.com/office/drawing/2010/main" Requires="a14">
      <xdr:twoCellAnchor editAs="absolute">
        <xdr:from>
          <xdr:col>0</xdr:col>
          <xdr:colOff>175260</xdr:colOff>
          <xdr:row>11</xdr:row>
          <xdr:rowOff>198120</xdr:rowOff>
        </xdr:from>
        <xdr:to>
          <xdr:col>0</xdr:col>
          <xdr:colOff>769620</xdr:colOff>
          <xdr:row>13</xdr:row>
          <xdr:rowOff>182880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Contents of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14</xdr:row>
          <xdr:rowOff>0</xdr:rowOff>
        </xdr:from>
        <xdr:to>
          <xdr:col>0</xdr:col>
          <xdr:colOff>769620</xdr:colOff>
          <xdr:row>16</xdr:row>
          <xdr:rowOff>83820</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 to Entire CP</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0</xdr:col>
      <xdr:colOff>259079</xdr:colOff>
      <xdr:row>1</xdr:row>
      <xdr:rowOff>22865</xdr:rowOff>
    </xdr:from>
    <xdr:to>
      <xdr:col>0</xdr:col>
      <xdr:colOff>624839</xdr:colOff>
      <xdr:row>5</xdr:row>
      <xdr:rowOff>106685</xdr:rowOff>
    </xdr:to>
    <xdr:pic>
      <xdr:nvPicPr>
        <xdr:cNvPr id="17415" name="Picture 8" descr="ADEM_White">
          <a:extLst>
            <a:ext uri="{FF2B5EF4-FFF2-40B4-BE49-F238E27FC236}">
              <a16:creationId xmlns:a16="http://schemas.microsoft.com/office/drawing/2014/main" id="{00000000-0008-0000-0600-00000744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259079" y="259085"/>
          <a:ext cx="365760" cy="1097280"/>
        </a:xfrm>
        <a:prstGeom prst="rect">
          <a:avLst/>
        </a:prstGeom>
        <a:noFill/>
        <a:ln w="9525">
          <a:noFill/>
          <a:miter lim="800000"/>
          <a:headEnd/>
          <a:tailEnd/>
        </a:ln>
      </xdr:spPr>
    </xdr:pic>
    <xdr:clientData fLocksWithSheet="0" fPrintsWithSheet="0"/>
  </xdr:twoCellAnchor>
  <mc:AlternateContent xmlns:mc="http://schemas.openxmlformats.org/markup-compatibility/2006">
    <mc:Choice xmlns:a14="http://schemas.microsoft.com/office/drawing/2010/main" Requires="a14">
      <xdr:twoCellAnchor editAs="oneCell">
        <xdr:from>
          <xdr:col>0</xdr:col>
          <xdr:colOff>144780</xdr:colOff>
          <xdr:row>15</xdr:row>
          <xdr:rowOff>106680</xdr:rowOff>
        </xdr:from>
        <xdr:to>
          <xdr:col>0</xdr:col>
          <xdr:colOff>845820</xdr:colOff>
          <xdr:row>20</xdr:row>
          <xdr:rowOff>22860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All Inputs Forms A-F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11</xdr:row>
          <xdr:rowOff>22860</xdr:rowOff>
        </xdr:from>
        <xdr:to>
          <xdr:col>0</xdr:col>
          <xdr:colOff>822960</xdr:colOff>
          <xdr:row>14</xdr:row>
          <xdr:rowOff>99060</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Main</a:t>
              </a:r>
            </a:p>
            <a:p>
              <a:pPr algn="ctr" rtl="0">
                <a:defRPr sz="1000"/>
              </a:pPr>
              <a:r>
                <a:rPr lang="en-US" sz="1000" b="0" i="0" u="none" strike="noStrike" baseline="0">
                  <a:solidFill>
                    <a:srgbClr val="000000"/>
                  </a:solidFill>
                  <a:latin typeface="Arial"/>
                  <a:cs typeface="Arial"/>
                </a:rPr>
                <a:t>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111</xdr:row>
          <xdr:rowOff>22860</xdr:rowOff>
        </xdr:from>
        <xdr:to>
          <xdr:col>0</xdr:col>
          <xdr:colOff>861060</xdr:colOff>
          <xdr:row>115</xdr:row>
          <xdr:rowOff>22860</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CP Part II Summary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160020</xdr:colOff>
          <xdr:row>21</xdr:row>
          <xdr:rowOff>22860</xdr:rowOff>
        </xdr:from>
        <xdr:to>
          <xdr:col>0</xdr:col>
          <xdr:colOff>838200</xdr:colOff>
          <xdr:row>24</xdr:row>
          <xdr:rowOff>99060</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CP Part II Summary</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0</xdr:col>
      <xdr:colOff>289560</xdr:colOff>
      <xdr:row>0</xdr:row>
      <xdr:rowOff>228600</xdr:rowOff>
    </xdr:from>
    <xdr:to>
      <xdr:col>0</xdr:col>
      <xdr:colOff>655320</xdr:colOff>
      <xdr:row>5</xdr:row>
      <xdr:rowOff>175260</xdr:rowOff>
    </xdr:to>
    <xdr:pic>
      <xdr:nvPicPr>
        <xdr:cNvPr id="21514" name="Picture 8" descr="ADEM_White">
          <a:extLst>
            <a:ext uri="{FF2B5EF4-FFF2-40B4-BE49-F238E27FC236}">
              <a16:creationId xmlns:a16="http://schemas.microsoft.com/office/drawing/2014/main" id="{00000000-0008-0000-0700-00000A54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289560" y="228600"/>
          <a:ext cx="365760" cy="109728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absolute">
        <xdr:from>
          <xdr:col>0</xdr:col>
          <xdr:colOff>175260</xdr:colOff>
          <xdr:row>12</xdr:row>
          <xdr:rowOff>213360</xdr:rowOff>
        </xdr:from>
        <xdr:to>
          <xdr:col>0</xdr:col>
          <xdr:colOff>754380</xdr:colOff>
          <xdr:row>15</xdr:row>
          <xdr:rowOff>175260</xdr:rowOff>
        </xdr:to>
        <xdr:sp macro="" textlink="">
          <xdr:nvSpPr>
            <xdr:cNvPr id="21509" name="Button 5" hidden="1">
              <a:extLst>
                <a:ext uri="{63B3BB69-23CF-44E3-9099-C40C66FF867C}">
                  <a14:compatExt spid="_x0000_s21509"/>
                </a:ext>
                <a:ext uri="{FF2B5EF4-FFF2-40B4-BE49-F238E27FC236}">
                  <a16:creationId xmlns:a16="http://schemas.microsoft.com/office/drawing/2014/main" id="{00000000-0008-0000-0700-0000055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Contents of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144780</xdr:colOff>
          <xdr:row>19</xdr:row>
          <xdr:rowOff>175260</xdr:rowOff>
        </xdr:from>
        <xdr:to>
          <xdr:col>0</xdr:col>
          <xdr:colOff>762000</xdr:colOff>
          <xdr:row>23</xdr:row>
          <xdr:rowOff>114300</xdr:rowOff>
        </xdr:to>
        <xdr:sp macro="" textlink="">
          <xdr:nvSpPr>
            <xdr:cNvPr id="21510" name="Button 6" hidden="1">
              <a:extLst>
                <a:ext uri="{63B3BB69-23CF-44E3-9099-C40C66FF867C}">
                  <a14:compatExt spid="_x0000_s21510"/>
                </a:ext>
                <a:ext uri="{FF2B5EF4-FFF2-40B4-BE49-F238E27FC236}">
                  <a16:creationId xmlns:a16="http://schemas.microsoft.com/office/drawing/2014/main" id="{00000000-0008-0000-0700-0000065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Create PRs for ADEM Fiscal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137160</xdr:colOff>
          <xdr:row>16</xdr:row>
          <xdr:rowOff>45720</xdr:rowOff>
        </xdr:from>
        <xdr:to>
          <xdr:col>0</xdr:col>
          <xdr:colOff>754380</xdr:colOff>
          <xdr:row>19</xdr:row>
          <xdr:rowOff>45720</xdr:rowOff>
        </xdr:to>
        <xdr:sp macro="" textlink="">
          <xdr:nvSpPr>
            <xdr:cNvPr id="21511" name="Button 7" hidden="1">
              <a:extLst>
                <a:ext uri="{63B3BB69-23CF-44E3-9099-C40C66FF867C}">
                  <a14:compatExt spid="_x0000_s21511"/>
                </a:ext>
                <a:ext uri="{FF2B5EF4-FFF2-40B4-BE49-F238E27FC236}">
                  <a16:creationId xmlns:a16="http://schemas.microsoft.com/office/drawing/2014/main" id="{00000000-0008-0000-0700-0000075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PR Part II Summary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24</xdr:row>
          <xdr:rowOff>30480</xdr:rowOff>
        </xdr:from>
        <xdr:to>
          <xdr:col>0</xdr:col>
          <xdr:colOff>746760</xdr:colOff>
          <xdr:row>26</xdr:row>
          <xdr:rowOff>144780</xdr:rowOff>
        </xdr:to>
        <xdr:sp macro="" textlink="">
          <xdr:nvSpPr>
            <xdr:cNvPr id="21512" name="Button 8" hidden="1">
              <a:extLst>
                <a:ext uri="{63B3BB69-23CF-44E3-9099-C40C66FF867C}">
                  <a14:compatExt spid="_x0000_s21512"/>
                </a:ext>
                <a:ext uri="{FF2B5EF4-FFF2-40B4-BE49-F238E27FC236}">
                  <a16:creationId xmlns:a16="http://schemas.microsoft.com/office/drawing/2014/main" id="{00000000-0008-0000-0700-0000085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 to Entire PR</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0</xdr:col>
      <xdr:colOff>274320</xdr:colOff>
      <xdr:row>0</xdr:row>
      <xdr:rowOff>228600</xdr:rowOff>
    </xdr:from>
    <xdr:to>
      <xdr:col>0</xdr:col>
      <xdr:colOff>640080</xdr:colOff>
      <xdr:row>6</xdr:row>
      <xdr:rowOff>0</xdr:rowOff>
    </xdr:to>
    <xdr:pic>
      <xdr:nvPicPr>
        <xdr:cNvPr id="22535" name="Picture 8" descr="ADEM_White">
          <a:extLst>
            <a:ext uri="{FF2B5EF4-FFF2-40B4-BE49-F238E27FC236}">
              <a16:creationId xmlns:a16="http://schemas.microsoft.com/office/drawing/2014/main" id="{00000000-0008-0000-0800-00000758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274320" y="228600"/>
          <a:ext cx="365760" cy="109728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absolute">
        <xdr:from>
          <xdr:col>0</xdr:col>
          <xdr:colOff>152400</xdr:colOff>
          <xdr:row>13</xdr:row>
          <xdr:rowOff>45720</xdr:rowOff>
        </xdr:from>
        <xdr:to>
          <xdr:col>0</xdr:col>
          <xdr:colOff>754380</xdr:colOff>
          <xdr:row>16</xdr:row>
          <xdr:rowOff>106680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800-0000025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Contents of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17</xdr:row>
          <xdr:rowOff>38100</xdr:rowOff>
        </xdr:from>
        <xdr:to>
          <xdr:col>0</xdr:col>
          <xdr:colOff>784860</xdr:colOff>
          <xdr:row>20</xdr:row>
          <xdr:rowOff>22860</xdr:rowOff>
        </xdr:to>
        <xdr:sp macro="" textlink="">
          <xdr:nvSpPr>
            <xdr:cNvPr id="22534" name="Button 6" hidden="1">
              <a:extLst>
                <a:ext uri="{63B3BB69-23CF-44E3-9099-C40C66FF867C}">
                  <a14:compatExt spid="_x0000_s22534"/>
                </a:ext>
                <a:ext uri="{FF2B5EF4-FFF2-40B4-BE49-F238E27FC236}">
                  <a16:creationId xmlns:a16="http://schemas.microsoft.com/office/drawing/2014/main" id="{00000000-0008-0000-0800-0000065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 to Entire PR</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0</xdr:col>
      <xdr:colOff>281940</xdr:colOff>
      <xdr:row>1</xdr:row>
      <xdr:rowOff>0</xdr:rowOff>
    </xdr:from>
    <xdr:to>
      <xdr:col>0</xdr:col>
      <xdr:colOff>647700</xdr:colOff>
      <xdr:row>5</xdr:row>
      <xdr:rowOff>76200</xdr:rowOff>
    </xdr:to>
    <xdr:pic>
      <xdr:nvPicPr>
        <xdr:cNvPr id="11276" name="Picture 8" descr="ADEM_White">
          <a:extLst>
            <a:ext uri="{FF2B5EF4-FFF2-40B4-BE49-F238E27FC236}">
              <a16:creationId xmlns:a16="http://schemas.microsoft.com/office/drawing/2014/main" id="{00000000-0008-0000-0900-00000C2C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281940" y="236220"/>
          <a:ext cx="365760" cy="1097280"/>
        </a:xfrm>
        <a:prstGeom prst="rect">
          <a:avLst/>
        </a:prstGeom>
        <a:noFill/>
        <a:ln w="9525">
          <a:noFill/>
          <a:miter lim="800000"/>
          <a:headEnd/>
          <a:tailEnd/>
        </a:ln>
      </xdr:spPr>
    </xdr:pic>
    <xdr:clientData fLocksWithSheet="0" fPrintsWithSheet="0"/>
  </xdr:twoCellAnchor>
  <mc:AlternateContent xmlns:mc="http://schemas.openxmlformats.org/markup-compatibility/2006">
    <mc:Choice xmlns:a14="http://schemas.microsoft.com/office/drawing/2010/main" Requires="a14">
      <xdr:twoCellAnchor editAs="oneCell">
        <xdr:from>
          <xdr:col>1</xdr:col>
          <xdr:colOff>220980</xdr:colOff>
          <xdr:row>4</xdr:row>
          <xdr:rowOff>22860</xdr:rowOff>
        </xdr:from>
        <xdr:to>
          <xdr:col>2</xdr:col>
          <xdr:colOff>0</xdr:colOff>
          <xdr:row>5</xdr:row>
          <xdr:rowOff>0</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xdr:row>
          <xdr:rowOff>45720</xdr:rowOff>
        </xdr:from>
        <xdr:to>
          <xdr:col>2</xdr:col>
          <xdr:colOff>0</xdr:colOff>
          <xdr:row>7</xdr:row>
          <xdr:rowOff>0</xdr:rowOff>
        </xdr:to>
        <xdr:sp macro="" textlink="">
          <xdr:nvSpPr>
            <xdr:cNvPr id="11268" name="Option Button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11</xdr:row>
          <xdr:rowOff>30480</xdr:rowOff>
        </xdr:from>
        <xdr:to>
          <xdr:col>0</xdr:col>
          <xdr:colOff>792480</xdr:colOff>
          <xdr:row>12</xdr:row>
          <xdr:rowOff>541020</xdr:rowOff>
        </xdr:to>
        <xdr:sp macro="" textlink="">
          <xdr:nvSpPr>
            <xdr:cNvPr id="11273" name="Button 9" hidden="1">
              <a:extLst>
                <a:ext uri="{63B3BB69-23CF-44E3-9099-C40C66FF867C}">
                  <a14:compatExt spid="_x0000_s11273"/>
                </a:ext>
                <a:ext uri="{FF2B5EF4-FFF2-40B4-BE49-F238E27FC236}">
                  <a16:creationId xmlns:a16="http://schemas.microsoft.com/office/drawing/2014/main" id="{00000000-0008-0000-0900-0000092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Contents of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4</xdr:row>
          <xdr:rowOff>22860</xdr:rowOff>
        </xdr:from>
        <xdr:to>
          <xdr:col>2</xdr:col>
          <xdr:colOff>0</xdr:colOff>
          <xdr:row>5</xdr:row>
          <xdr:rowOff>0</xdr:rowOff>
        </xdr:to>
        <xdr:sp macro="" textlink="">
          <xdr:nvSpPr>
            <xdr:cNvPr id="11274" name="Option Button 10" hidden="1">
              <a:extLst>
                <a:ext uri="{63B3BB69-23CF-44E3-9099-C40C66FF867C}">
                  <a14:compatExt spid="_x0000_s11274"/>
                </a:ext>
                <a:ext uri="{FF2B5EF4-FFF2-40B4-BE49-F238E27FC236}">
                  <a16:creationId xmlns:a16="http://schemas.microsoft.com/office/drawing/2014/main" id="{00000000-0008-0000-09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xdr:row>
          <xdr:rowOff>45720</xdr:rowOff>
        </xdr:from>
        <xdr:to>
          <xdr:col>2</xdr:col>
          <xdr:colOff>0</xdr:colOff>
          <xdr:row>7</xdr:row>
          <xdr:rowOff>0</xdr:rowOff>
        </xdr:to>
        <xdr:sp macro="" textlink="">
          <xdr:nvSpPr>
            <xdr:cNvPr id="11275" name="Option Button 11" hidden="1">
              <a:extLst>
                <a:ext uri="{63B3BB69-23CF-44E3-9099-C40C66FF867C}">
                  <a14:compatExt spid="_x0000_s11275"/>
                </a:ext>
                <a:ext uri="{FF2B5EF4-FFF2-40B4-BE49-F238E27FC236}">
                  <a16:creationId xmlns:a16="http://schemas.microsoft.com/office/drawing/2014/main" id="{00000000-0008-0000-09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4</xdr:row>
          <xdr:rowOff>22860</xdr:rowOff>
        </xdr:from>
        <xdr:to>
          <xdr:col>2</xdr:col>
          <xdr:colOff>0</xdr:colOff>
          <xdr:row>5</xdr:row>
          <xdr:rowOff>0</xdr:rowOff>
        </xdr:to>
        <xdr:sp macro="" textlink="">
          <xdr:nvSpPr>
            <xdr:cNvPr id="2" name="Option Button 12" hidden="1">
              <a:extLst>
                <a:ext uri="{63B3BB69-23CF-44E3-9099-C40C66FF867C}">
                  <a14:compatExt spid="_x0000_s11276"/>
                </a:ext>
                <a:ext uri="{FF2B5EF4-FFF2-40B4-BE49-F238E27FC236}">
                  <a16:creationId xmlns:a16="http://schemas.microsoft.com/office/drawing/2014/main" id="{00000000-0008-0000-09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6</xdr:row>
          <xdr:rowOff>45720</xdr:rowOff>
        </xdr:from>
        <xdr:to>
          <xdr:col>2</xdr:col>
          <xdr:colOff>0</xdr:colOff>
          <xdr:row>7</xdr:row>
          <xdr:rowOff>0</xdr:rowOff>
        </xdr:to>
        <xdr:sp macro="" textlink="">
          <xdr:nvSpPr>
            <xdr:cNvPr id="11277" name="Option Button 13" hidden="1">
              <a:extLst>
                <a:ext uri="{63B3BB69-23CF-44E3-9099-C40C66FF867C}">
                  <a14:compatExt spid="_x0000_s11277"/>
                </a:ext>
                <a:ext uri="{FF2B5EF4-FFF2-40B4-BE49-F238E27FC236}">
                  <a16:creationId xmlns:a16="http://schemas.microsoft.com/office/drawing/2014/main" id="{00000000-0008-0000-09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14</xdr:row>
          <xdr:rowOff>716280</xdr:rowOff>
        </xdr:from>
        <xdr:to>
          <xdr:col>0</xdr:col>
          <xdr:colOff>754380</xdr:colOff>
          <xdr:row>16</xdr:row>
          <xdr:rowOff>266700</xdr:rowOff>
        </xdr:to>
        <xdr:sp macro="" textlink="">
          <xdr:nvSpPr>
            <xdr:cNvPr id="11278" name="Button 14" hidden="1">
              <a:extLst>
                <a:ext uri="{63B3BB69-23CF-44E3-9099-C40C66FF867C}">
                  <a14:compatExt spid="_x0000_s11278"/>
                </a:ext>
                <a:ext uri="{FF2B5EF4-FFF2-40B4-BE49-F238E27FC236}">
                  <a16:creationId xmlns:a16="http://schemas.microsoft.com/office/drawing/2014/main" id="{00000000-0008-0000-0900-00000E2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 to Entire PR</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absolute">
    <xdr:from>
      <xdr:col>0</xdr:col>
      <xdr:colOff>312420</xdr:colOff>
      <xdr:row>0</xdr:row>
      <xdr:rowOff>205740</xdr:rowOff>
    </xdr:from>
    <xdr:to>
      <xdr:col>0</xdr:col>
      <xdr:colOff>678180</xdr:colOff>
      <xdr:row>6</xdr:row>
      <xdr:rowOff>0</xdr:rowOff>
    </xdr:to>
    <xdr:pic>
      <xdr:nvPicPr>
        <xdr:cNvPr id="7177" name="Picture 8" descr="ADEM_White">
          <a:extLst>
            <a:ext uri="{FF2B5EF4-FFF2-40B4-BE49-F238E27FC236}">
              <a16:creationId xmlns:a16="http://schemas.microsoft.com/office/drawing/2014/main" id="{00000000-0008-0000-0A00-0000091C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312420" y="205740"/>
          <a:ext cx="365760" cy="1097280"/>
        </a:xfrm>
        <a:prstGeom prst="rect">
          <a:avLst/>
        </a:prstGeom>
        <a:noFill/>
        <a:ln w="9525">
          <a:noFill/>
          <a:miter lim="800000"/>
          <a:headEnd/>
          <a:tailEnd/>
        </a:ln>
      </xdr:spPr>
    </xdr:pic>
    <xdr:clientData fLocksWithSheet="0" fPrintsWithSheet="0"/>
  </xdr:twoCellAnchor>
  <mc:AlternateContent xmlns:mc="http://schemas.openxmlformats.org/markup-compatibility/2006">
    <mc:Choice xmlns:a14="http://schemas.microsoft.com/office/drawing/2010/main" Requires="a14">
      <xdr:twoCellAnchor editAs="oneCell">
        <xdr:from>
          <xdr:col>0</xdr:col>
          <xdr:colOff>152400</xdr:colOff>
          <xdr:row>13</xdr:row>
          <xdr:rowOff>60960</xdr:rowOff>
        </xdr:from>
        <xdr:to>
          <xdr:col>0</xdr:col>
          <xdr:colOff>762000</xdr:colOff>
          <xdr:row>16</xdr:row>
          <xdr:rowOff>45720</xdr:rowOff>
        </xdr:to>
        <xdr:sp macro="" textlink="">
          <xdr:nvSpPr>
            <xdr:cNvPr id="7174" name="Button 6" hidden="1">
              <a:extLst>
                <a:ext uri="{63B3BB69-23CF-44E3-9099-C40C66FF867C}">
                  <a14:compatExt spid="_x0000_s7174"/>
                </a:ext>
                <a:ext uri="{FF2B5EF4-FFF2-40B4-BE49-F238E27FC236}">
                  <a16:creationId xmlns:a16="http://schemas.microsoft.com/office/drawing/2014/main" id="{00000000-0008-0000-0A00-0000061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Contents of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16</xdr:row>
          <xdr:rowOff>175260</xdr:rowOff>
        </xdr:from>
        <xdr:to>
          <xdr:col>0</xdr:col>
          <xdr:colOff>746760</xdr:colOff>
          <xdr:row>19</xdr:row>
          <xdr:rowOff>106680</xdr:rowOff>
        </xdr:to>
        <xdr:sp macro="" textlink="">
          <xdr:nvSpPr>
            <xdr:cNvPr id="7175" name="Button 7" hidden="1">
              <a:extLst>
                <a:ext uri="{63B3BB69-23CF-44E3-9099-C40C66FF867C}">
                  <a14:compatExt spid="_x0000_s7175"/>
                </a:ext>
                <a:ext uri="{FF2B5EF4-FFF2-40B4-BE49-F238E27FC236}">
                  <a16:creationId xmlns:a16="http://schemas.microsoft.com/office/drawing/2014/main" id="{00000000-0008-0000-0A00-0000071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 to Entire PR</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absolute">
    <xdr:from>
      <xdr:col>0</xdr:col>
      <xdr:colOff>304800</xdr:colOff>
      <xdr:row>0</xdr:row>
      <xdr:rowOff>190500</xdr:rowOff>
    </xdr:from>
    <xdr:to>
      <xdr:col>0</xdr:col>
      <xdr:colOff>670560</xdr:colOff>
      <xdr:row>5</xdr:row>
      <xdr:rowOff>7620</xdr:rowOff>
    </xdr:to>
    <xdr:pic>
      <xdr:nvPicPr>
        <xdr:cNvPr id="23559" name="Picture 8" descr="ADEM_White">
          <a:extLst>
            <a:ext uri="{FF2B5EF4-FFF2-40B4-BE49-F238E27FC236}">
              <a16:creationId xmlns:a16="http://schemas.microsoft.com/office/drawing/2014/main" id="{00000000-0008-0000-0B00-0000075C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304800" y="190500"/>
          <a:ext cx="365760" cy="1097280"/>
        </a:xfrm>
        <a:prstGeom prst="rect">
          <a:avLst/>
        </a:prstGeom>
        <a:noFill/>
        <a:ln w="9525">
          <a:noFill/>
          <a:miter lim="800000"/>
          <a:headEnd/>
          <a:tailEnd/>
        </a:ln>
      </xdr:spPr>
    </xdr:pic>
    <xdr:clientData fLocksWithSheet="0" fPrintsWithSheet="0"/>
  </xdr:twoCellAnchor>
  <mc:AlternateContent xmlns:mc="http://schemas.openxmlformats.org/markup-compatibility/2006">
    <mc:Choice xmlns:a14="http://schemas.microsoft.com/office/drawing/2010/main" Requires="a14">
      <xdr:twoCellAnchor editAs="absolute">
        <xdr:from>
          <xdr:col>0</xdr:col>
          <xdr:colOff>106680</xdr:colOff>
          <xdr:row>15</xdr:row>
          <xdr:rowOff>152400</xdr:rowOff>
        </xdr:from>
        <xdr:to>
          <xdr:col>0</xdr:col>
          <xdr:colOff>845820</xdr:colOff>
          <xdr:row>20</xdr:row>
          <xdr:rowOff>60960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0B00-000003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All Inputs Forms A-F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114300</xdr:colOff>
          <xdr:row>11</xdr:row>
          <xdr:rowOff>38100</xdr:rowOff>
        </xdr:from>
        <xdr:to>
          <xdr:col>0</xdr:col>
          <xdr:colOff>845820</xdr:colOff>
          <xdr:row>14</xdr:row>
          <xdr:rowOff>106680</xdr:rowOff>
        </xdr:to>
        <xdr:sp macro="" textlink="">
          <xdr:nvSpPr>
            <xdr:cNvPr id="23556" name="Button 4" hidden="1">
              <a:extLst>
                <a:ext uri="{63B3BB69-23CF-44E3-9099-C40C66FF867C}">
                  <a14:compatExt spid="_x0000_s23556"/>
                </a:ext>
                <a:ext uri="{FF2B5EF4-FFF2-40B4-BE49-F238E27FC236}">
                  <a16:creationId xmlns:a16="http://schemas.microsoft.com/office/drawing/2014/main" id="{00000000-0008-0000-0B00-000004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Main</a:t>
              </a:r>
            </a:p>
            <a:p>
              <a:pPr algn="ctr" rtl="0">
                <a:defRPr sz="1000"/>
              </a:pPr>
              <a:r>
                <a:rPr lang="en-US" sz="1000" b="0" i="0" u="none" strike="noStrike" baseline="0">
                  <a:solidFill>
                    <a:srgbClr val="000000"/>
                  </a:solidFill>
                  <a:latin typeface="Arial"/>
                  <a:cs typeface="Arial"/>
                </a:rPr>
                <a:t>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106680</xdr:colOff>
          <xdr:row>21</xdr:row>
          <xdr:rowOff>106680</xdr:rowOff>
        </xdr:from>
        <xdr:to>
          <xdr:col>0</xdr:col>
          <xdr:colOff>861060</xdr:colOff>
          <xdr:row>25</xdr:row>
          <xdr:rowOff>45720</xdr:rowOff>
        </xdr:to>
        <xdr:sp macro="" textlink="">
          <xdr:nvSpPr>
            <xdr:cNvPr id="23557" name="Button 5" hidden="1">
              <a:extLst>
                <a:ext uri="{63B3BB69-23CF-44E3-9099-C40C66FF867C}">
                  <a14:compatExt spid="_x0000_s23557"/>
                </a:ext>
                <a:ext uri="{FF2B5EF4-FFF2-40B4-BE49-F238E27FC236}">
                  <a16:creationId xmlns:a16="http://schemas.microsoft.com/office/drawing/2014/main" id="{00000000-0008-0000-0B00-000005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PR Part II Summary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160020</xdr:colOff>
          <xdr:row>110</xdr:row>
          <xdr:rowOff>114300</xdr:rowOff>
        </xdr:from>
        <xdr:to>
          <xdr:col>0</xdr:col>
          <xdr:colOff>822960</xdr:colOff>
          <xdr:row>114</xdr:row>
          <xdr:rowOff>121920</xdr:rowOff>
        </xdr:to>
        <xdr:sp macro="" textlink="">
          <xdr:nvSpPr>
            <xdr:cNvPr id="23558" name="Button 6" hidden="1">
              <a:extLst>
                <a:ext uri="{63B3BB69-23CF-44E3-9099-C40C66FF867C}">
                  <a14:compatExt spid="_x0000_s23558"/>
                </a:ext>
                <a:ext uri="{FF2B5EF4-FFF2-40B4-BE49-F238E27FC236}">
                  <a16:creationId xmlns:a16="http://schemas.microsoft.com/office/drawing/2014/main" id="{00000000-0008-0000-0B00-000006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PR Part II Summary</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editAs="absolute">
    <xdr:from>
      <xdr:col>0</xdr:col>
      <xdr:colOff>281940</xdr:colOff>
      <xdr:row>0</xdr:row>
      <xdr:rowOff>182880</xdr:rowOff>
    </xdr:from>
    <xdr:to>
      <xdr:col>0</xdr:col>
      <xdr:colOff>647700</xdr:colOff>
      <xdr:row>6</xdr:row>
      <xdr:rowOff>45720</xdr:rowOff>
    </xdr:to>
    <xdr:pic>
      <xdr:nvPicPr>
        <xdr:cNvPr id="14344" name="Picture 8" descr="ADEM_White">
          <a:extLst>
            <a:ext uri="{FF2B5EF4-FFF2-40B4-BE49-F238E27FC236}">
              <a16:creationId xmlns:a16="http://schemas.microsoft.com/office/drawing/2014/main" id="{00000000-0008-0000-0C00-00000838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281940" y="182880"/>
          <a:ext cx="365760" cy="1097280"/>
        </a:xfrm>
        <a:prstGeom prst="rect">
          <a:avLst/>
        </a:prstGeom>
        <a:noFill/>
        <a:ln w="9525">
          <a:noFill/>
          <a:miter lim="800000"/>
          <a:headEnd/>
          <a:tailEnd/>
        </a:ln>
      </xdr:spPr>
    </xdr:pic>
    <xdr:clientData fLocksWithSheet="0" fPrintsWithSheet="0"/>
  </xdr:twoCellAnchor>
  <mc:AlternateContent xmlns:mc="http://schemas.openxmlformats.org/markup-compatibility/2006">
    <mc:Choice xmlns:a14="http://schemas.microsoft.com/office/drawing/2010/main" Requires="a14">
      <xdr:twoCellAnchor editAs="absolute">
        <xdr:from>
          <xdr:col>0</xdr:col>
          <xdr:colOff>137160</xdr:colOff>
          <xdr:row>14</xdr:row>
          <xdr:rowOff>137160</xdr:rowOff>
        </xdr:from>
        <xdr:to>
          <xdr:col>0</xdr:col>
          <xdr:colOff>838200</xdr:colOff>
          <xdr:row>20</xdr:row>
          <xdr:rowOff>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Inputs Form 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152400</xdr:colOff>
          <xdr:row>10</xdr:row>
          <xdr:rowOff>22860</xdr:rowOff>
        </xdr:from>
        <xdr:to>
          <xdr:col>0</xdr:col>
          <xdr:colOff>822960</xdr:colOff>
          <xdr:row>13</xdr:row>
          <xdr:rowOff>60960</xdr:rowOff>
        </xdr:to>
        <xdr:sp macro="" textlink="">
          <xdr:nvSpPr>
            <xdr:cNvPr id="14341" name="Button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Main</a:t>
              </a:r>
            </a:p>
            <a:p>
              <a:pPr algn="ctr" rtl="0">
                <a:defRPr sz="1000"/>
              </a:pPr>
              <a:r>
                <a:rPr lang="en-US" sz="1000" b="0" i="0" u="none" strike="noStrike" baseline="0">
                  <a:solidFill>
                    <a:srgbClr val="000000"/>
                  </a:solidFill>
                  <a:latin typeface="Arial"/>
                  <a:cs typeface="Arial"/>
                </a:rPr>
                <a:t>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106680</xdr:colOff>
          <xdr:row>131</xdr:row>
          <xdr:rowOff>0</xdr:rowOff>
        </xdr:from>
        <xdr:to>
          <xdr:col>0</xdr:col>
          <xdr:colOff>822960</xdr:colOff>
          <xdr:row>135</xdr:row>
          <xdr:rowOff>22860</xdr:rowOff>
        </xdr:to>
        <xdr:sp macro="" textlink="">
          <xdr:nvSpPr>
            <xdr:cNvPr id="14342" name="Button 6" hidden="1">
              <a:extLst>
                <a:ext uri="{63B3BB69-23CF-44E3-9099-C40C66FF867C}">
                  <a14:compatExt spid="_x0000_s14342"/>
                </a:ext>
                <a:ext uri="{FF2B5EF4-FFF2-40B4-BE49-F238E27FC236}">
                  <a16:creationId xmlns:a16="http://schemas.microsoft.com/office/drawing/2014/main" id="{00000000-0008-0000-0C00-0000063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PR Part II Summary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137160</xdr:colOff>
          <xdr:row>21</xdr:row>
          <xdr:rowOff>76200</xdr:rowOff>
        </xdr:from>
        <xdr:to>
          <xdr:col>0</xdr:col>
          <xdr:colOff>838200</xdr:colOff>
          <xdr:row>25</xdr:row>
          <xdr:rowOff>99060</xdr:rowOff>
        </xdr:to>
        <xdr:sp macro="" textlink="">
          <xdr:nvSpPr>
            <xdr:cNvPr id="14343" name="Button 7" hidden="1">
              <a:extLst>
                <a:ext uri="{63B3BB69-23CF-44E3-9099-C40C66FF867C}">
                  <a14:compatExt spid="_x0000_s14343"/>
                </a:ext>
                <a:ext uri="{FF2B5EF4-FFF2-40B4-BE49-F238E27FC236}">
                  <a16:creationId xmlns:a16="http://schemas.microsoft.com/office/drawing/2014/main" id="{00000000-0008-0000-0C00-0000073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PR Part II Summary</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259079</xdr:colOff>
      <xdr:row>1</xdr:row>
      <xdr:rowOff>30480</xdr:rowOff>
    </xdr:from>
    <xdr:to>
      <xdr:col>0</xdr:col>
      <xdr:colOff>624839</xdr:colOff>
      <xdr:row>6</xdr:row>
      <xdr:rowOff>68580</xdr:rowOff>
    </xdr:to>
    <xdr:pic>
      <xdr:nvPicPr>
        <xdr:cNvPr id="13321" name="Picture 8" descr="ADEM_White">
          <a:extLst>
            <a:ext uri="{FF2B5EF4-FFF2-40B4-BE49-F238E27FC236}">
              <a16:creationId xmlns:a16="http://schemas.microsoft.com/office/drawing/2014/main" id="{00000000-0008-0000-1000-00000934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259079" y="266700"/>
          <a:ext cx="365760" cy="109728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144780</xdr:colOff>
          <xdr:row>17</xdr:row>
          <xdr:rowOff>76200</xdr:rowOff>
        </xdr:from>
        <xdr:to>
          <xdr:col>0</xdr:col>
          <xdr:colOff>838200</xdr:colOff>
          <xdr:row>21</xdr:row>
          <xdr:rowOff>38100</xdr:rowOff>
        </xdr:to>
        <xdr:sp macro="" textlink="">
          <xdr:nvSpPr>
            <xdr:cNvPr id="13315" name="Button 3" hidden="1">
              <a:extLst>
                <a:ext uri="{63B3BB69-23CF-44E3-9099-C40C66FF867C}">
                  <a14:compatExt spid="_x0000_s13315"/>
                </a:ext>
                <a:ext uri="{FF2B5EF4-FFF2-40B4-BE49-F238E27FC236}">
                  <a16:creationId xmlns:a16="http://schemas.microsoft.com/office/drawing/2014/main" id="{00000000-0008-0000-1000-0000033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Inputs Form 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12</xdr:row>
          <xdr:rowOff>60960</xdr:rowOff>
        </xdr:from>
        <xdr:to>
          <xdr:col>0</xdr:col>
          <xdr:colOff>792480</xdr:colOff>
          <xdr:row>15</xdr:row>
          <xdr:rowOff>76200</xdr:rowOff>
        </xdr:to>
        <xdr:sp macro="" textlink="">
          <xdr:nvSpPr>
            <xdr:cNvPr id="13318" name="Button 6" hidden="1">
              <a:extLst>
                <a:ext uri="{63B3BB69-23CF-44E3-9099-C40C66FF867C}">
                  <a14:compatExt spid="_x0000_s13318"/>
                </a:ext>
                <a:ext uri="{FF2B5EF4-FFF2-40B4-BE49-F238E27FC236}">
                  <a16:creationId xmlns:a16="http://schemas.microsoft.com/office/drawing/2014/main" id="{00000000-0008-0000-1000-0000063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Main</a:t>
              </a:r>
            </a:p>
            <a:p>
              <a:pPr algn="ctr" rtl="0">
                <a:defRPr sz="1000"/>
              </a:pPr>
              <a:r>
                <a:rPr lang="en-US" sz="1000" b="0" i="0" u="none" strike="noStrike" baseline="0">
                  <a:solidFill>
                    <a:srgbClr val="000000"/>
                  </a:solidFill>
                  <a:latin typeface="Arial"/>
                  <a:cs typeface="Arial"/>
                </a:rPr>
                <a:t>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160020</xdr:colOff>
          <xdr:row>146</xdr:row>
          <xdr:rowOff>7620</xdr:rowOff>
        </xdr:from>
        <xdr:to>
          <xdr:col>0</xdr:col>
          <xdr:colOff>822960</xdr:colOff>
          <xdr:row>150</xdr:row>
          <xdr:rowOff>22860</xdr:rowOff>
        </xdr:to>
        <xdr:sp macro="" textlink="">
          <xdr:nvSpPr>
            <xdr:cNvPr id="13319" name="Button 7" hidden="1">
              <a:extLst>
                <a:ext uri="{63B3BB69-23CF-44E3-9099-C40C66FF867C}">
                  <a14:compatExt spid="_x0000_s13319"/>
                </a:ext>
                <a:ext uri="{FF2B5EF4-FFF2-40B4-BE49-F238E27FC236}">
                  <a16:creationId xmlns:a16="http://schemas.microsoft.com/office/drawing/2014/main" id="{00000000-0008-0000-1000-0000073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CP Part II Summary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38100</xdr:rowOff>
        </xdr:from>
        <xdr:to>
          <xdr:col>0</xdr:col>
          <xdr:colOff>830580</xdr:colOff>
          <xdr:row>25</xdr:row>
          <xdr:rowOff>152400</xdr:rowOff>
        </xdr:to>
        <xdr:sp macro="" textlink="">
          <xdr:nvSpPr>
            <xdr:cNvPr id="13320" name="Button 8" hidden="1">
              <a:extLst>
                <a:ext uri="{63B3BB69-23CF-44E3-9099-C40C66FF867C}">
                  <a14:compatExt spid="_x0000_s13320"/>
                </a:ext>
                <a:ext uri="{FF2B5EF4-FFF2-40B4-BE49-F238E27FC236}">
                  <a16:creationId xmlns:a16="http://schemas.microsoft.com/office/drawing/2014/main" id="{00000000-0008-0000-1000-0000083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CP Part II Summary</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editAs="absolute">
    <xdr:from>
      <xdr:col>0</xdr:col>
      <xdr:colOff>289560</xdr:colOff>
      <xdr:row>0</xdr:row>
      <xdr:rowOff>198120</xdr:rowOff>
    </xdr:from>
    <xdr:to>
      <xdr:col>0</xdr:col>
      <xdr:colOff>655320</xdr:colOff>
      <xdr:row>6</xdr:row>
      <xdr:rowOff>85725</xdr:rowOff>
    </xdr:to>
    <xdr:pic>
      <xdr:nvPicPr>
        <xdr:cNvPr id="24584" name="Picture 8" descr="ADEM_White">
          <a:extLst>
            <a:ext uri="{FF2B5EF4-FFF2-40B4-BE49-F238E27FC236}">
              <a16:creationId xmlns:a16="http://schemas.microsoft.com/office/drawing/2014/main" id="{00000000-0008-0000-1100-00000860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289560" y="198120"/>
          <a:ext cx="365760" cy="1097280"/>
        </a:xfrm>
        <a:prstGeom prst="rect">
          <a:avLst/>
        </a:prstGeom>
        <a:noFill/>
        <a:ln w="9525">
          <a:noFill/>
          <a:miter lim="800000"/>
          <a:headEnd/>
          <a:tailEnd/>
        </a:ln>
      </xdr:spPr>
    </xdr:pic>
    <xdr:clientData fLocksWithSheet="0" fPrintsWithSheet="0"/>
  </xdr:twoCellAnchor>
  <mc:AlternateContent xmlns:mc="http://schemas.openxmlformats.org/markup-compatibility/2006">
    <mc:Choice xmlns:a14="http://schemas.microsoft.com/office/drawing/2010/main" Requires="a14">
      <xdr:twoCellAnchor editAs="absolute">
        <xdr:from>
          <xdr:col>0</xdr:col>
          <xdr:colOff>175260</xdr:colOff>
          <xdr:row>12</xdr:row>
          <xdr:rowOff>152400</xdr:rowOff>
        </xdr:from>
        <xdr:to>
          <xdr:col>0</xdr:col>
          <xdr:colOff>792480</xdr:colOff>
          <xdr:row>16</xdr:row>
          <xdr:rowOff>30480</xdr:rowOff>
        </xdr:to>
        <xdr:sp macro="" textlink="">
          <xdr:nvSpPr>
            <xdr:cNvPr id="24580" name="Button 4" hidden="1">
              <a:extLst>
                <a:ext uri="{63B3BB69-23CF-44E3-9099-C40C66FF867C}">
                  <a14:compatExt spid="_x0000_s24580"/>
                </a:ext>
                <a:ext uri="{FF2B5EF4-FFF2-40B4-BE49-F238E27FC236}">
                  <a16:creationId xmlns:a16="http://schemas.microsoft.com/office/drawing/2014/main" id="{00000000-0008-0000-1100-000004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Main</a:t>
              </a:r>
            </a:p>
            <a:p>
              <a:pPr algn="ctr" rtl="0">
                <a:defRPr sz="1000"/>
              </a:pPr>
              <a:r>
                <a:rPr lang="en-US" sz="1000" b="0" i="0" u="none" strike="noStrike" baseline="0">
                  <a:solidFill>
                    <a:srgbClr val="000000"/>
                  </a:solidFill>
                  <a:latin typeface="Arial"/>
                  <a:cs typeface="Arial"/>
                </a:rPr>
                <a:t>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144780</xdr:colOff>
          <xdr:row>17</xdr:row>
          <xdr:rowOff>60960</xdr:rowOff>
        </xdr:from>
        <xdr:to>
          <xdr:col>0</xdr:col>
          <xdr:colOff>822960</xdr:colOff>
          <xdr:row>21</xdr:row>
          <xdr:rowOff>45720</xdr:rowOff>
        </xdr:to>
        <xdr:sp macro="" textlink="">
          <xdr:nvSpPr>
            <xdr:cNvPr id="24581" name="Button 5" hidden="1">
              <a:extLst>
                <a:ext uri="{63B3BB69-23CF-44E3-9099-C40C66FF867C}">
                  <a14:compatExt spid="_x0000_s24581"/>
                </a:ext>
                <a:ext uri="{FF2B5EF4-FFF2-40B4-BE49-F238E27FC236}">
                  <a16:creationId xmlns:a16="http://schemas.microsoft.com/office/drawing/2014/main" id="{00000000-0008-0000-1100-000005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Inputs Form 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137160</xdr:colOff>
          <xdr:row>22</xdr:row>
          <xdr:rowOff>68580</xdr:rowOff>
        </xdr:from>
        <xdr:to>
          <xdr:col>0</xdr:col>
          <xdr:colOff>830580</xdr:colOff>
          <xdr:row>26</xdr:row>
          <xdr:rowOff>60960</xdr:rowOff>
        </xdr:to>
        <xdr:sp macro="" textlink="">
          <xdr:nvSpPr>
            <xdr:cNvPr id="24582" name="Button 6" hidden="1">
              <a:extLst>
                <a:ext uri="{63B3BB69-23CF-44E3-9099-C40C66FF867C}">
                  <a14:compatExt spid="_x0000_s24582"/>
                </a:ext>
                <a:ext uri="{FF2B5EF4-FFF2-40B4-BE49-F238E27FC236}">
                  <a16:creationId xmlns:a16="http://schemas.microsoft.com/office/drawing/2014/main" id="{00000000-0008-0000-1100-000006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PR Part II Summary</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editAs="absolute">
    <xdr:from>
      <xdr:col>0</xdr:col>
      <xdr:colOff>304800</xdr:colOff>
      <xdr:row>0</xdr:row>
      <xdr:rowOff>220980</xdr:rowOff>
    </xdr:from>
    <xdr:to>
      <xdr:col>0</xdr:col>
      <xdr:colOff>670560</xdr:colOff>
      <xdr:row>5</xdr:row>
      <xdr:rowOff>129540</xdr:rowOff>
    </xdr:to>
    <xdr:pic>
      <xdr:nvPicPr>
        <xdr:cNvPr id="25607" name="Picture 8" descr="ADEM_White">
          <a:extLst>
            <a:ext uri="{FF2B5EF4-FFF2-40B4-BE49-F238E27FC236}">
              <a16:creationId xmlns:a16="http://schemas.microsoft.com/office/drawing/2014/main" id="{00000000-0008-0000-1200-00000764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304800" y="220980"/>
          <a:ext cx="365760" cy="1097280"/>
        </a:xfrm>
        <a:prstGeom prst="rect">
          <a:avLst/>
        </a:prstGeom>
        <a:noFill/>
        <a:ln w="9525">
          <a:noFill/>
          <a:miter lim="800000"/>
          <a:headEnd/>
          <a:tailEnd/>
        </a:ln>
      </xdr:spPr>
    </xdr:pic>
    <xdr:clientData fLocksWithSheet="0" fPrintsWithSheet="0"/>
  </xdr:twoCellAnchor>
  <mc:AlternateContent xmlns:mc="http://schemas.openxmlformats.org/markup-compatibility/2006">
    <mc:Choice xmlns:a14="http://schemas.microsoft.com/office/drawing/2010/main" Requires="a14">
      <xdr:twoCellAnchor editAs="absolute">
        <xdr:from>
          <xdr:col>0</xdr:col>
          <xdr:colOff>175260</xdr:colOff>
          <xdr:row>12</xdr:row>
          <xdr:rowOff>99060</xdr:rowOff>
        </xdr:from>
        <xdr:to>
          <xdr:col>0</xdr:col>
          <xdr:colOff>861060</xdr:colOff>
          <xdr:row>15</xdr:row>
          <xdr:rowOff>83820</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1200-0000026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Inputs Form 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198120</xdr:colOff>
          <xdr:row>8</xdr:row>
          <xdr:rowOff>182880</xdr:rowOff>
        </xdr:from>
        <xdr:to>
          <xdr:col>0</xdr:col>
          <xdr:colOff>822960</xdr:colOff>
          <xdr:row>11</xdr:row>
          <xdr:rowOff>160020</xdr:rowOff>
        </xdr:to>
        <xdr:sp macro="" textlink="">
          <xdr:nvSpPr>
            <xdr:cNvPr id="25604" name="Button 4" hidden="1">
              <a:extLst>
                <a:ext uri="{63B3BB69-23CF-44E3-9099-C40C66FF867C}">
                  <a14:compatExt spid="_x0000_s25604"/>
                </a:ext>
                <a:ext uri="{FF2B5EF4-FFF2-40B4-BE49-F238E27FC236}">
                  <a16:creationId xmlns:a16="http://schemas.microsoft.com/office/drawing/2014/main" id="{00000000-0008-0000-1200-0000046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Main</a:t>
              </a:r>
            </a:p>
            <a:p>
              <a:pPr algn="ctr" rtl="0">
                <a:defRPr sz="1000"/>
              </a:pPr>
              <a:r>
                <a:rPr lang="en-US" sz="1000" b="0" i="0" u="none" strike="noStrike" baseline="0">
                  <a:solidFill>
                    <a:srgbClr val="000000"/>
                  </a:solidFill>
                  <a:latin typeface="Arial"/>
                  <a:cs typeface="Arial"/>
                </a:rPr>
                <a:t>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175260</xdr:colOff>
          <xdr:row>16</xdr:row>
          <xdr:rowOff>22860</xdr:rowOff>
        </xdr:from>
        <xdr:to>
          <xdr:col>0</xdr:col>
          <xdr:colOff>861060</xdr:colOff>
          <xdr:row>19</xdr:row>
          <xdr:rowOff>7620</xdr:rowOff>
        </xdr:to>
        <xdr:sp macro="" textlink="">
          <xdr:nvSpPr>
            <xdr:cNvPr id="25605" name="Button 5" hidden="1">
              <a:extLst>
                <a:ext uri="{63B3BB69-23CF-44E3-9099-C40C66FF867C}">
                  <a14:compatExt spid="_x0000_s25605"/>
                </a:ext>
                <a:ext uri="{FF2B5EF4-FFF2-40B4-BE49-F238E27FC236}">
                  <a16:creationId xmlns:a16="http://schemas.microsoft.com/office/drawing/2014/main" id="{00000000-0008-0000-1200-0000056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PR Part II Summary</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198120</xdr:colOff>
          <xdr:row>15</xdr:row>
          <xdr:rowOff>45720</xdr:rowOff>
        </xdr:from>
        <xdr:to>
          <xdr:col>0</xdr:col>
          <xdr:colOff>762000</xdr:colOff>
          <xdr:row>20</xdr:row>
          <xdr:rowOff>144780</xdr:rowOff>
        </xdr:to>
        <xdr:sp macro="" textlink="">
          <xdr:nvSpPr>
            <xdr:cNvPr id="49153" name="Button 1" hidden="1">
              <a:extLst>
                <a:ext uri="{63B3BB69-23CF-44E3-9099-C40C66FF867C}">
                  <a14:compatExt spid="_x0000_s49153"/>
                </a:ext>
                <a:ext uri="{FF2B5EF4-FFF2-40B4-BE49-F238E27FC236}">
                  <a16:creationId xmlns:a16="http://schemas.microsoft.com/office/drawing/2014/main" id="{00000000-0008-0000-2100-000001C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Create PRs for ADEM Fiscal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182880</xdr:colOff>
          <xdr:row>11</xdr:row>
          <xdr:rowOff>121920</xdr:rowOff>
        </xdr:from>
        <xdr:to>
          <xdr:col>0</xdr:col>
          <xdr:colOff>769620</xdr:colOff>
          <xdr:row>14</xdr:row>
          <xdr:rowOff>60960</xdr:rowOff>
        </xdr:to>
        <xdr:sp macro="" textlink="">
          <xdr:nvSpPr>
            <xdr:cNvPr id="49154" name="Button 2" hidden="1">
              <a:extLst>
                <a:ext uri="{63B3BB69-23CF-44E3-9099-C40C66FF867C}">
                  <a14:compatExt spid="_x0000_s49154"/>
                </a:ext>
                <a:ext uri="{FF2B5EF4-FFF2-40B4-BE49-F238E27FC236}">
                  <a16:creationId xmlns:a16="http://schemas.microsoft.com/office/drawing/2014/main" id="{00000000-0008-0000-2100-000002C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 to Entire PR</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xdr:twoCellAnchor editAs="absolute">
    <xdr:from>
      <xdr:col>0</xdr:col>
      <xdr:colOff>304800</xdr:colOff>
      <xdr:row>0</xdr:row>
      <xdr:rowOff>175260</xdr:rowOff>
    </xdr:from>
    <xdr:to>
      <xdr:col>0</xdr:col>
      <xdr:colOff>670560</xdr:colOff>
      <xdr:row>6</xdr:row>
      <xdr:rowOff>60960</xdr:rowOff>
    </xdr:to>
    <xdr:pic>
      <xdr:nvPicPr>
        <xdr:cNvPr id="38919" name="Picture 8" descr="ADEM_White">
          <a:extLst>
            <a:ext uri="{FF2B5EF4-FFF2-40B4-BE49-F238E27FC236}">
              <a16:creationId xmlns:a16="http://schemas.microsoft.com/office/drawing/2014/main" id="{00000000-0008-0000-2200-00000798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304800" y="175260"/>
          <a:ext cx="365760" cy="1097280"/>
        </a:xfrm>
        <a:prstGeom prst="rect">
          <a:avLst/>
        </a:prstGeom>
        <a:noFill/>
        <a:ln w="9525">
          <a:noFill/>
          <a:miter lim="800000"/>
          <a:headEnd/>
          <a:tailEnd/>
        </a:ln>
      </xdr:spPr>
    </xdr:pic>
    <xdr:clientData fLocksWithSheet="0" fPrintsWithSheet="0"/>
  </xdr:twoCellAnchor>
  <mc:AlternateContent xmlns:mc="http://schemas.openxmlformats.org/markup-compatibility/2006">
    <mc:Choice xmlns:a14="http://schemas.microsoft.com/office/drawing/2010/main" Requires="a14">
      <xdr:twoCellAnchor editAs="absolute">
        <xdr:from>
          <xdr:col>0</xdr:col>
          <xdr:colOff>137160</xdr:colOff>
          <xdr:row>17</xdr:row>
          <xdr:rowOff>137160</xdr:rowOff>
        </xdr:from>
        <xdr:to>
          <xdr:col>0</xdr:col>
          <xdr:colOff>746760</xdr:colOff>
          <xdr:row>21</xdr:row>
          <xdr:rowOff>60960</xdr:rowOff>
        </xdr:to>
        <xdr:sp macro="" textlink="">
          <xdr:nvSpPr>
            <xdr:cNvPr id="38914" name="Button 2" hidden="1">
              <a:extLst>
                <a:ext uri="{63B3BB69-23CF-44E3-9099-C40C66FF867C}">
                  <a14:compatExt spid="_x0000_s38914"/>
                </a:ext>
                <a:ext uri="{FF2B5EF4-FFF2-40B4-BE49-F238E27FC236}">
                  <a16:creationId xmlns:a16="http://schemas.microsoft.com/office/drawing/2014/main" id="{00000000-0008-0000-2200-0000029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Inputs Form 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114300</xdr:colOff>
          <xdr:row>22</xdr:row>
          <xdr:rowOff>45720</xdr:rowOff>
        </xdr:from>
        <xdr:to>
          <xdr:col>0</xdr:col>
          <xdr:colOff>769620</xdr:colOff>
          <xdr:row>25</xdr:row>
          <xdr:rowOff>114300</xdr:rowOff>
        </xdr:to>
        <xdr:sp macro="" textlink="">
          <xdr:nvSpPr>
            <xdr:cNvPr id="38917" name="Button 5" hidden="1">
              <a:extLst>
                <a:ext uri="{63B3BB69-23CF-44E3-9099-C40C66FF867C}">
                  <a14:compatExt spid="_x0000_s38917"/>
                </a:ext>
                <a:ext uri="{FF2B5EF4-FFF2-40B4-BE49-F238E27FC236}">
                  <a16:creationId xmlns:a16="http://schemas.microsoft.com/office/drawing/2014/main" id="{00000000-0008-0000-2200-0000059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PR Part II Summary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26</xdr:row>
          <xdr:rowOff>68580</xdr:rowOff>
        </xdr:from>
        <xdr:to>
          <xdr:col>0</xdr:col>
          <xdr:colOff>746760</xdr:colOff>
          <xdr:row>29</xdr:row>
          <xdr:rowOff>76200</xdr:rowOff>
        </xdr:to>
        <xdr:sp macro="" textlink="">
          <xdr:nvSpPr>
            <xdr:cNvPr id="38918" name="Button 6" hidden="1">
              <a:extLst>
                <a:ext uri="{63B3BB69-23CF-44E3-9099-C40C66FF867C}">
                  <a14:compatExt spid="_x0000_s38918"/>
                </a:ext>
                <a:ext uri="{FF2B5EF4-FFF2-40B4-BE49-F238E27FC236}">
                  <a16:creationId xmlns:a16="http://schemas.microsoft.com/office/drawing/2014/main" id="{00000000-0008-0000-2200-0000069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 to Entire PR</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xdr:twoCellAnchor editAs="absolute">
    <xdr:from>
      <xdr:col>0</xdr:col>
      <xdr:colOff>259080</xdr:colOff>
      <xdr:row>1</xdr:row>
      <xdr:rowOff>38100</xdr:rowOff>
    </xdr:from>
    <xdr:to>
      <xdr:col>0</xdr:col>
      <xdr:colOff>624840</xdr:colOff>
      <xdr:row>6</xdr:row>
      <xdr:rowOff>83820</xdr:rowOff>
    </xdr:to>
    <xdr:pic>
      <xdr:nvPicPr>
        <xdr:cNvPr id="18440" name="Picture 8" descr="ADEM_White">
          <a:extLst>
            <a:ext uri="{FF2B5EF4-FFF2-40B4-BE49-F238E27FC236}">
              <a16:creationId xmlns:a16="http://schemas.microsoft.com/office/drawing/2014/main" id="{00000000-0008-0000-2300-00000848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259080" y="274320"/>
          <a:ext cx="365760" cy="1097280"/>
        </a:xfrm>
        <a:prstGeom prst="rect">
          <a:avLst/>
        </a:prstGeom>
        <a:noFill/>
        <a:ln w="9525">
          <a:noFill/>
          <a:miter lim="800000"/>
          <a:headEnd/>
          <a:tailEnd/>
        </a:ln>
      </xdr:spPr>
    </xdr:pic>
    <xdr:clientData fLocksWithSheet="0" fPrintsWithSheet="0"/>
  </xdr:twoCellAnchor>
  <mc:AlternateContent xmlns:mc="http://schemas.openxmlformats.org/markup-compatibility/2006">
    <mc:Choice xmlns:a14="http://schemas.microsoft.com/office/drawing/2010/main" Requires="a14">
      <xdr:twoCellAnchor editAs="absolute">
        <xdr:from>
          <xdr:col>0</xdr:col>
          <xdr:colOff>152400</xdr:colOff>
          <xdr:row>11</xdr:row>
          <xdr:rowOff>83820</xdr:rowOff>
        </xdr:from>
        <xdr:to>
          <xdr:col>0</xdr:col>
          <xdr:colOff>792480</xdr:colOff>
          <xdr:row>14</xdr:row>
          <xdr:rowOff>114300</xdr:rowOff>
        </xdr:to>
        <xdr:sp macro="" textlink="">
          <xdr:nvSpPr>
            <xdr:cNvPr id="18436" name="Button 4" hidden="1">
              <a:extLst>
                <a:ext uri="{63B3BB69-23CF-44E3-9099-C40C66FF867C}">
                  <a14:compatExt spid="_x0000_s18436"/>
                </a:ext>
                <a:ext uri="{FF2B5EF4-FFF2-40B4-BE49-F238E27FC236}">
                  <a16:creationId xmlns:a16="http://schemas.microsoft.com/office/drawing/2014/main" id="{00000000-0008-0000-2300-0000044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Main</a:t>
              </a:r>
            </a:p>
            <a:p>
              <a:pPr algn="ctr" rtl="0">
                <a:defRPr sz="1000"/>
              </a:pPr>
              <a:r>
                <a:rPr lang="en-US" sz="1000" b="0" i="0" u="none" strike="noStrike" baseline="0">
                  <a:solidFill>
                    <a:srgbClr val="000000"/>
                  </a:solidFill>
                  <a:latin typeface="Arial"/>
                  <a:cs typeface="Arial"/>
                </a:rPr>
                <a:t>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137160</xdr:colOff>
          <xdr:row>15</xdr:row>
          <xdr:rowOff>121920</xdr:rowOff>
        </xdr:from>
        <xdr:to>
          <xdr:col>0</xdr:col>
          <xdr:colOff>807720</xdr:colOff>
          <xdr:row>19</xdr:row>
          <xdr:rowOff>83820</xdr:rowOff>
        </xdr:to>
        <xdr:sp macro="" textlink="">
          <xdr:nvSpPr>
            <xdr:cNvPr id="18437" name="Button 5" hidden="1">
              <a:extLst>
                <a:ext uri="{63B3BB69-23CF-44E3-9099-C40C66FF867C}">
                  <a14:compatExt spid="_x0000_s18437"/>
                </a:ext>
                <a:ext uri="{FF2B5EF4-FFF2-40B4-BE49-F238E27FC236}">
                  <a16:creationId xmlns:a16="http://schemas.microsoft.com/office/drawing/2014/main" id="{00000000-0008-0000-2300-0000054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Inputs Form 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137160</xdr:colOff>
          <xdr:row>20</xdr:row>
          <xdr:rowOff>99060</xdr:rowOff>
        </xdr:from>
        <xdr:to>
          <xdr:col>0</xdr:col>
          <xdr:colOff>807720</xdr:colOff>
          <xdr:row>23</xdr:row>
          <xdr:rowOff>99060</xdr:rowOff>
        </xdr:to>
        <xdr:sp macro="" textlink="">
          <xdr:nvSpPr>
            <xdr:cNvPr id="2" name="Button 8" hidden="1">
              <a:extLst>
                <a:ext uri="{63B3BB69-23CF-44E3-9099-C40C66FF867C}">
                  <a14:compatExt spid="_x0000_s18440"/>
                </a:ext>
                <a:ext uri="{FF2B5EF4-FFF2-40B4-BE49-F238E27FC236}">
                  <a16:creationId xmlns:a16="http://schemas.microsoft.com/office/drawing/2014/main" id="{00000000-0008-0000-2300-0000020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CP Part II Summary</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0</xdr:col>
      <xdr:colOff>251460</xdr:colOff>
      <xdr:row>1</xdr:row>
      <xdr:rowOff>38100</xdr:rowOff>
    </xdr:from>
    <xdr:to>
      <xdr:col>0</xdr:col>
      <xdr:colOff>617220</xdr:colOff>
      <xdr:row>5</xdr:row>
      <xdr:rowOff>129540</xdr:rowOff>
    </xdr:to>
    <xdr:pic>
      <xdr:nvPicPr>
        <xdr:cNvPr id="19463" name="Picture 8" descr="ADEM_White">
          <a:extLst>
            <a:ext uri="{FF2B5EF4-FFF2-40B4-BE49-F238E27FC236}">
              <a16:creationId xmlns:a16="http://schemas.microsoft.com/office/drawing/2014/main" id="{00000000-0008-0000-2400-0000074C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251460" y="274320"/>
          <a:ext cx="365760" cy="109728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absolute">
        <xdr:from>
          <xdr:col>0</xdr:col>
          <xdr:colOff>160020</xdr:colOff>
          <xdr:row>13</xdr:row>
          <xdr:rowOff>22860</xdr:rowOff>
        </xdr:from>
        <xdr:to>
          <xdr:col>0</xdr:col>
          <xdr:colOff>822960</xdr:colOff>
          <xdr:row>15</xdr:row>
          <xdr:rowOff>213360</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2400-0000014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Inputs Form 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190500</xdr:colOff>
          <xdr:row>9</xdr:row>
          <xdr:rowOff>137160</xdr:rowOff>
        </xdr:from>
        <xdr:to>
          <xdr:col>0</xdr:col>
          <xdr:colOff>792480</xdr:colOff>
          <xdr:row>11</xdr:row>
          <xdr:rowOff>198120</xdr:rowOff>
        </xdr:to>
        <xdr:sp macro="" textlink="">
          <xdr:nvSpPr>
            <xdr:cNvPr id="19460" name="Button 4" hidden="1">
              <a:extLst>
                <a:ext uri="{63B3BB69-23CF-44E3-9099-C40C66FF867C}">
                  <a14:compatExt spid="_x0000_s19460"/>
                </a:ext>
                <a:ext uri="{FF2B5EF4-FFF2-40B4-BE49-F238E27FC236}">
                  <a16:creationId xmlns:a16="http://schemas.microsoft.com/office/drawing/2014/main" id="{00000000-0008-0000-2400-0000044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Main</a:t>
              </a:r>
            </a:p>
            <a:p>
              <a:pPr algn="ctr" rtl="0">
                <a:defRPr sz="1000"/>
              </a:pPr>
              <a:r>
                <a:rPr lang="en-US" sz="1000" b="0" i="0" u="none" strike="noStrike" baseline="0">
                  <a:solidFill>
                    <a:srgbClr val="000000"/>
                  </a:solidFill>
                  <a:latin typeface="Arial"/>
                  <a:cs typeface="Arial"/>
                </a:rPr>
                <a:t>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144780</xdr:colOff>
          <xdr:row>17</xdr:row>
          <xdr:rowOff>22860</xdr:rowOff>
        </xdr:from>
        <xdr:to>
          <xdr:col>0</xdr:col>
          <xdr:colOff>830580</xdr:colOff>
          <xdr:row>19</xdr:row>
          <xdr:rowOff>160020</xdr:rowOff>
        </xdr:to>
        <xdr:sp macro="" textlink="">
          <xdr:nvSpPr>
            <xdr:cNvPr id="19462" name="Button 6" hidden="1">
              <a:extLst>
                <a:ext uri="{63B3BB69-23CF-44E3-9099-C40C66FF867C}">
                  <a14:compatExt spid="_x0000_s19462"/>
                </a:ext>
                <a:ext uri="{FF2B5EF4-FFF2-40B4-BE49-F238E27FC236}">
                  <a16:creationId xmlns:a16="http://schemas.microsoft.com/office/drawing/2014/main" id="{00000000-0008-0000-2400-0000064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CP Part II Summary</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xdr:twoCellAnchor editAs="absolute">
    <xdr:from>
      <xdr:col>0</xdr:col>
      <xdr:colOff>297180</xdr:colOff>
      <xdr:row>0</xdr:row>
      <xdr:rowOff>175260</xdr:rowOff>
    </xdr:from>
    <xdr:to>
      <xdr:col>0</xdr:col>
      <xdr:colOff>662940</xdr:colOff>
      <xdr:row>6</xdr:row>
      <xdr:rowOff>91440</xdr:rowOff>
    </xdr:to>
    <xdr:pic>
      <xdr:nvPicPr>
        <xdr:cNvPr id="33797" name="Picture 8" descr="ADEM_White">
          <a:extLst>
            <a:ext uri="{FF2B5EF4-FFF2-40B4-BE49-F238E27FC236}">
              <a16:creationId xmlns:a16="http://schemas.microsoft.com/office/drawing/2014/main" id="{00000000-0008-0000-2500-00000584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297180" y="175260"/>
          <a:ext cx="365760" cy="1097280"/>
        </a:xfrm>
        <a:prstGeom prst="rect">
          <a:avLst/>
        </a:prstGeom>
        <a:noFill/>
        <a:ln w="9525">
          <a:noFill/>
          <a:miter lim="800000"/>
          <a:headEnd/>
          <a:tailEnd/>
        </a:ln>
      </xdr:spPr>
    </xdr:pic>
    <xdr:clientData fLocksWithSheet="0" fPrintsWithSheet="0"/>
  </xdr:twoCellAnchor>
  <mc:AlternateContent xmlns:mc="http://schemas.openxmlformats.org/markup-compatibility/2006">
    <mc:Choice xmlns:a14="http://schemas.microsoft.com/office/drawing/2010/main" Requires="a14">
      <xdr:twoCellAnchor editAs="absolute">
        <xdr:from>
          <xdr:col>0</xdr:col>
          <xdr:colOff>152400</xdr:colOff>
          <xdr:row>14</xdr:row>
          <xdr:rowOff>137160</xdr:rowOff>
        </xdr:from>
        <xdr:to>
          <xdr:col>0</xdr:col>
          <xdr:colOff>830580</xdr:colOff>
          <xdr:row>18</xdr:row>
          <xdr:rowOff>144780</xdr:rowOff>
        </xdr:to>
        <xdr:sp macro="" textlink="">
          <xdr:nvSpPr>
            <xdr:cNvPr id="33794" name="Button 2" hidden="1">
              <a:extLst>
                <a:ext uri="{63B3BB69-23CF-44E3-9099-C40C66FF867C}">
                  <a14:compatExt spid="_x0000_s33794"/>
                </a:ext>
                <a:ext uri="{FF2B5EF4-FFF2-40B4-BE49-F238E27FC236}">
                  <a16:creationId xmlns:a16="http://schemas.microsoft.com/office/drawing/2014/main" id="{00000000-0008-0000-2500-0000028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Inputs Form 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152400</xdr:colOff>
          <xdr:row>19</xdr:row>
          <xdr:rowOff>137160</xdr:rowOff>
        </xdr:from>
        <xdr:to>
          <xdr:col>0</xdr:col>
          <xdr:colOff>822960</xdr:colOff>
          <xdr:row>23</xdr:row>
          <xdr:rowOff>45720</xdr:rowOff>
        </xdr:to>
        <xdr:sp macro="" textlink="">
          <xdr:nvSpPr>
            <xdr:cNvPr id="33795" name="Button 3" hidden="1">
              <a:extLst>
                <a:ext uri="{63B3BB69-23CF-44E3-9099-C40C66FF867C}">
                  <a14:compatExt spid="_x0000_s33795"/>
                </a:ext>
                <a:ext uri="{FF2B5EF4-FFF2-40B4-BE49-F238E27FC236}">
                  <a16:creationId xmlns:a16="http://schemas.microsoft.com/office/drawing/2014/main" id="{00000000-0008-0000-2500-0000038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PR Part II Summary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24</xdr:row>
          <xdr:rowOff>0</xdr:rowOff>
        </xdr:from>
        <xdr:to>
          <xdr:col>0</xdr:col>
          <xdr:colOff>830580</xdr:colOff>
          <xdr:row>27</xdr:row>
          <xdr:rowOff>7620</xdr:rowOff>
        </xdr:to>
        <xdr:sp macro="" textlink="">
          <xdr:nvSpPr>
            <xdr:cNvPr id="33796" name="Button 4" hidden="1">
              <a:extLst>
                <a:ext uri="{63B3BB69-23CF-44E3-9099-C40C66FF867C}">
                  <a14:compatExt spid="_x0000_s33796"/>
                </a:ext>
                <a:ext uri="{FF2B5EF4-FFF2-40B4-BE49-F238E27FC236}">
                  <a16:creationId xmlns:a16="http://schemas.microsoft.com/office/drawing/2014/main" id="{00000000-0008-0000-2500-0000048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 to Entire PR</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160020</xdr:colOff>
          <xdr:row>12</xdr:row>
          <xdr:rowOff>137160</xdr:rowOff>
        </xdr:from>
        <xdr:to>
          <xdr:col>0</xdr:col>
          <xdr:colOff>800100</xdr:colOff>
          <xdr:row>15</xdr:row>
          <xdr:rowOff>152400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2600-000001B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Create PDF of CP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182880</xdr:colOff>
          <xdr:row>8</xdr:row>
          <xdr:rowOff>182880</xdr:rowOff>
        </xdr:from>
        <xdr:to>
          <xdr:col>0</xdr:col>
          <xdr:colOff>792480</xdr:colOff>
          <xdr:row>11</xdr:row>
          <xdr:rowOff>137160</xdr:rowOff>
        </xdr:to>
        <xdr:sp macro="" textlink="">
          <xdr:nvSpPr>
            <xdr:cNvPr id="47106" name="Button 2" hidden="1">
              <a:extLst>
                <a:ext uri="{63B3BB69-23CF-44E3-9099-C40C66FF867C}">
                  <a14:compatExt spid="_x0000_s47106"/>
                </a:ext>
                <a:ext uri="{FF2B5EF4-FFF2-40B4-BE49-F238E27FC236}">
                  <a16:creationId xmlns:a16="http://schemas.microsoft.com/office/drawing/2014/main" id="{00000000-0008-0000-2600-000002B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 to Entire CP</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0</xdr:col>
      <xdr:colOff>289560</xdr:colOff>
      <xdr:row>1</xdr:row>
      <xdr:rowOff>15240</xdr:rowOff>
    </xdr:from>
    <xdr:to>
      <xdr:col>0</xdr:col>
      <xdr:colOff>655320</xdr:colOff>
      <xdr:row>6</xdr:row>
      <xdr:rowOff>45720</xdr:rowOff>
    </xdr:to>
    <xdr:pic>
      <xdr:nvPicPr>
        <xdr:cNvPr id="37895" name="Picture 8" descr="ADEM_White">
          <a:extLst>
            <a:ext uri="{FF2B5EF4-FFF2-40B4-BE49-F238E27FC236}">
              <a16:creationId xmlns:a16="http://schemas.microsoft.com/office/drawing/2014/main" id="{00000000-0008-0000-2700-00000794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289560" y="190500"/>
          <a:ext cx="365760" cy="109728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absolute">
        <xdr:from>
          <xdr:col>0</xdr:col>
          <xdr:colOff>152400</xdr:colOff>
          <xdr:row>16</xdr:row>
          <xdr:rowOff>137160</xdr:rowOff>
        </xdr:from>
        <xdr:to>
          <xdr:col>0</xdr:col>
          <xdr:colOff>792480</xdr:colOff>
          <xdr:row>19</xdr:row>
          <xdr:rowOff>160020</xdr:rowOff>
        </xdr:to>
        <xdr:sp macro="" textlink="">
          <xdr:nvSpPr>
            <xdr:cNvPr id="37890" name="Button 2" hidden="1">
              <a:extLst>
                <a:ext uri="{63B3BB69-23CF-44E3-9099-C40C66FF867C}">
                  <a14:compatExt spid="_x0000_s37890"/>
                </a:ext>
                <a:ext uri="{FF2B5EF4-FFF2-40B4-BE49-F238E27FC236}">
                  <a16:creationId xmlns:a16="http://schemas.microsoft.com/office/drawing/2014/main" id="{00000000-0008-0000-2700-0000029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Inputs Form 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137160</xdr:colOff>
          <xdr:row>20</xdr:row>
          <xdr:rowOff>152400</xdr:rowOff>
        </xdr:from>
        <xdr:to>
          <xdr:col>0</xdr:col>
          <xdr:colOff>784860</xdr:colOff>
          <xdr:row>24</xdr:row>
          <xdr:rowOff>38100</xdr:rowOff>
        </xdr:to>
        <xdr:sp macro="" textlink="">
          <xdr:nvSpPr>
            <xdr:cNvPr id="37893" name="Button 5" hidden="1">
              <a:extLst>
                <a:ext uri="{63B3BB69-23CF-44E3-9099-C40C66FF867C}">
                  <a14:compatExt spid="_x0000_s37893"/>
                </a:ext>
                <a:ext uri="{FF2B5EF4-FFF2-40B4-BE49-F238E27FC236}">
                  <a16:creationId xmlns:a16="http://schemas.microsoft.com/office/drawing/2014/main" id="{00000000-0008-0000-2700-0000059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CP Part II Summary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25</xdr:row>
          <xdr:rowOff>76200</xdr:rowOff>
        </xdr:from>
        <xdr:to>
          <xdr:col>0</xdr:col>
          <xdr:colOff>746760</xdr:colOff>
          <xdr:row>28</xdr:row>
          <xdr:rowOff>114300</xdr:rowOff>
        </xdr:to>
        <xdr:sp macro="" textlink="">
          <xdr:nvSpPr>
            <xdr:cNvPr id="37894" name="Button 6" hidden="1">
              <a:extLst>
                <a:ext uri="{63B3BB69-23CF-44E3-9099-C40C66FF867C}">
                  <a14:compatExt spid="_x0000_s37894"/>
                </a:ext>
                <a:ext uri="{FF2B5EF4-FFF2-40B4-BE49-F238E27FC236}">
                  <a16:creationId xmlns:a16="http://schemas.microsoft.com/office/drawing/2014/main" id="{00000000-0008-0000-2700-0000069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 to Entire CP</a:t>
              </a:r>
            </a:p>
            <a:p>
              <a:pPr algn="ctr" rtl="0">
                <a:defRPr sz="1000"/>
              </a:pPr>
              <a:endParaRPr lang="en-US" sz="1000" b="0" i="0" u="none" strike="noStrike" baseline="0">
                <a:solidFill>
                  <a:srgbClr val="000000"/>
                </a:solidFill>
                <a:latin typeface="Arial"/>
                <a:cs typeface="Arial"/>
              </a:endParaRP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0</xdr:col>
      <xdr:colOff>304800</xdr:colOff>
      <xdr:row>1</xdr:row>
      <xdr:rowOff>30480</xdr:rowOff>
    </xdr:from>
    <xdr:to>
      <xdr:col>0</xdr:col>
      <xdr:colOff>670560</xdr:colOff>
      <xdr:row>6</xdr:row>
      <xdr:rowOff>160020</xdr:rowOff>
    </xdr:to>
    <xdr:pic>
      <xdr:nvPicPr>
        <xdr:cNvPr id="27654" name="Picture 8" descr="ADEM_White">
          <a:extLst>
            <a:ext uri="{FF2B5EF4-FFF2-40B4-BE49-F238E27FC236}">
              <a16:creationId xmlns:a16="http://schemas.microsoft.com/office/drawing/2014/main" id="{00000000-0008-0000-2800-0000066C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304800" y="205740"/>
          <a:ext cx="365760" cy="109728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absolute">
        <xdr:from>
          <xdr:col>0</xdr:col>
          <xdr:colOff>152400</xdr:colOff>
          <xdr:row>16</xdr:row>
          <xdr:rowOff>121920</xdr:rowOff>
        </xdr:from>
        <xdr:to>
          <xdr:col>0</xdr:col>
          <xdr:colOff>868680</xdr:colOff>
          <xdr:row>20</xdr:row>
          <xdr:rowOff>38100</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2800-000003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Inputs</a:t>
              </a:r>
            </a:p>
            <a:p>
              <a:pPr algn="ctr" rtl="0">
                <a:defRPr sz="1000"/>
              </a:pPr>
              <a:r>
                <a:rPr lang="en-US" sz="1000" b="0" i="0" u="none" strike="noStrike" baseline="0">
                  <a:solidFill>
                    <a:srgbClr val="000000"/>
                  </a:solidFill>
                  <a:latin typeface="Arial"/>
                  <a:cs typeface="Arial"/>
                </a:rPr>
                <a:t> Form 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152400</xdr:colOff>
          <xdr:row>21</xdr:row>
          <xdr:rowOff>22860</xdr:rowOff>
        </xdr:from>
        <xdr:to>
          <xdr:col>0</xdr:col>
          <xdr:colOff>830580</xdr:colOff>
          <xdr:row>24</xdr:row>
          <xdr:rowOff>83820</xdr:rowOff>
        </xdr:to>
        <xdr:sp macro="" textlink="">
          <xdr:nvSpPr>
            <xdr:cNvPr id="27652" name="Button 4" hidden="1">
              <a:extLst>
                <a:ext uri="{63B3BB69-23CF-44E3-9099-C40C66FF867C}">
                  <a14:compatExt spid="_x0000_s27652"/>
                </a:ext>
                <a:ext uri="{FF2B5EF4-FFF2-40B4-BE49-F238E27FC236}">
                  <a16:creationId xmlns:a16="http://schemas.microsoft.com/office/drawing/2014/main" id="{00000000-0008-0000-2800-000004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CP Part II Summary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25</xdr:row>
          <xdr:rowOff>38100</xdr:rowOff>
        </xdr:from>
        <xdr:to>
          <xdr:col>0</xdr:col>
          <xdr:colOff>845820</xdr:colOff>
          <xdr:row>28</xdr:row>
          <xdr:rowOff>38100</xdr:rowOff>
        </xdr:to>
        <xdr:sp macro="" textlink="">
          <xdr:nvSpPr>
            <xdr:cNvPr id="27653" name="Button 5" hidden="1">
              <a:extLst>
                <a:ext uri="{63B3BB69-23CF-44E3-9099-C40C66FF867C}">
                  <a14:compatExt spid="_x0000_s27653"/>
                </a:ext>
                <a:ext uri="{FF2B5EF4-FFF2-40B4-BE49-F238E27FC236}">
                  <a16:creationId xmlns:a16="http://schemas.microsoft.com/office/drawing/2014/main" id="{00000000-0008-0000-2800-0000056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Return to Entire CP</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0</xdr:col>
      <xdr:colOff>327660</xdr:colOff>
      <xdr:row>1</xdr:row>
      <xdr:rowOff>38100</xdr:rowOff>
    </xdr:from>
    <xdr:to>
      <xdr:col>0</xdr:col>
      <xdr:colOff>693420</xdr:colOff>
      <xdr:row>7</xdr:row>
      <xdr:rowOff>68580</xdr:rowOff>
    </xdr:to>
    <xdr:pic>
      <xdr:nvPicPr>
        <xdr:cNvPr id="20489" name="Picture 8" descr="ADEM_White">
          <a:extLst>
            <a:ext uri="{FF2B5EF4-FFF2-40B4-BE49-F238E27FC236}">
              <a16:creationId xmlns:a16="http://schemas.microsoft.com/office/drawing/2014/main" id="{00000000-0008-0000-2900-00000950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327660" y="266700"/>
          <a:ext cx="365760" cy="1097280"/>
        </a:xfrm>
        <a:prstGeom prst="rect">
          <a:avLst/>
        </a:prstGeom>
        <a:noFill/>
        <a:ln w="9525">
          <a:noFill/>
          <a:miter lim="800000"/>
          <a:headEnd/>
          <a:tailEnd/>
        </a:ln>
      </xdr:spPr>
    </xdr:pic>
    <xdr:clientData/>
  </xdr:twoCellAnchor>
  <xdr:oneCellAnchor>
    <xdr:from>
      <xdr:col>0</xdr:col>
      <xdr:colOff>320040</xdr:colOff>
      <xdr:row>9</xdr:row>
      <xdr:rowOff>45720</xdr:rowOff>
    </xdr:from>
    <xdr:ext cx="192428" cy="264560"/>
    <xdr:sp macro="" textlink="">
      <xdr:nvSpPr>
        <xdr:cNvPr id="3" name="TextBox 2">
          <a:extLst>
            <a:ext uri="{FF2B5EF4-FFF2-40B4-BE49-F238E27FC236}">
              <a16:creationId xmlns:a16="http://schemas.microsoft.com/office/drawing/2014/main" id="{00000000-0008-0000-2900-000003000000}"/>
            </a:ext>
          </a:extLst>
        </xdr:cNvPr>
        <xdr:cNvSpPr txBox="1"/>
      </xdr:nvSpPr>
      <xdr:spPr>
        <a:xfrm>
          <a:off x="31242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absolute">
        <xdr:from>
          <xdr:col>0</xdr:col>
          <xdr:colOff>121920</xdr:colOff>
          <xdr:row>17</xdr:row>
          <xdr:rowOff>137160</xdr:rowOff>
        </xdr:from>
        <xdr:to>
          <xdr:col>0</xdr:col>
          <xdr:colOff>784860</xdr:colOff>
          <xdr:row>21</xdr:row>
          <xdr:rowOff>137160</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2900-0000015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Quote</a:t>
              </a:r>
            </a:p>
            <a:p>
              <a:pPr algn="ctr" rtl="0">
                <a:defRPr sz="1000"/>
              </a:pPr>
              <a:r>
                <a:rPr lang="en-US" sz="1000" b="0" i="0" u="none" strike="noStrike" baseline="0">
                  <a:solidFill>
                    <a:srgbClr val="000000"/>
                  </a:solidFill>
                  <a:latin typeface="Arial"/>
                  <a:cs typeface="Arial"/>
                </a:rPr>
                <a:t>Inputs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12</xdr:row>
          <xdr:rowOff>60960</xdr:rowOff>
        </xdr:from>
        <xdr:to>
          <xdr:col>0</xdr:col>
          <xdr:colOff>800100</xdr:colOff>
          <xdr:row>16</xdr:row>
          <xdr:rowOff>99060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2900-0000025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View CP Part II Summary</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xdr:twoCellAnchor editAs="absolute">
    <xdr:from>
      <xdr:col>0</xdr:col>
      <xdr:colOff>320040</xdr:colOff>
      <xdr:row>1</xdr:row>
      <xdr:rowOff>15240</xdr:rowOff>
    </xdr:from>
    <xdr:to>
      <xdr:col>0</xdr:col>
      <xdr:colOff>685800</xdr:colOff>
      <xdr:row>7</xdr:row>
      <xdr:rowOff>7620</xdr:rowOff>
    </xdr:to>
    <xdr:pic>
      <xdr:nvPicPr>
        <xdr:cNvPr id="26631" name="Picture 8" descr="ADEM_White">
          <a:extLst>
            <a:ext uri="{FF2B5EF4-FFF2-40B4-BE49-F238E27FC236}">
              <a16:creationId xmlns:a16="http://schemas.microsoft.com/office/drawing/2014/main" id="{00000000-0008-0000-2A00-000007680000}"/>
            </a:ext>
          </a:extLst>
        </xdr:cNvPr>
        <xdr:cNvPicPr preferRelativeResize="0">
          <a:picLocks noChangeArrowheads="1"/>
        </xdr:cNvPicPr>
      </xdr:nvPicPr>
      <xdr:blipFill>
        <a:blip xmlns:r="http://schemas.openxmlformats.org/officeDocument/2006/relationships" r:embed="rId1">
          <a:lum bright="6000"/>
        </a:blip>
        <a:srcRect/>
        <a:stretch>
          <a:fillRect/>
        </a:stretch>
      </xdr:blipFill>
      <xdr:spPr bwMode="auto">
        <a:xfrm>
          <a:off x="320040" y="190500"/>
          <a:ext cx="365760" cy="1097280"/>
        </a:xfrm>
        <a:prstGeom prst="rect">
          <a:avLst/>
        </a:prstGeom>
        <a:noFill/>
        <a:ln w="9525">
          <a:noFill/>
          <a:miter lim="800000"/>
          <a:headEnd/>
          <a:tailEnd/>
        </a:ln>
      </xdr:spPr>
    </xdr:pic>
    <xdr:clientData fLocksWithSheet="0" fPrintsWithSheet="0"/>
  </xdr:twoCellAnchor>
  <mc:AlternateContent xmlns:mc="http://schemas.openxmlformats.org/markup-compatibility/2006">
    <mc:Choice xmlns:a14="http://schemas.microsoft.com/office/drawing/2010/main" Requires="a14">
      <xdr:twoCellAnchor editAs="absolute">
        <xdr:from>
          <xdr:col>0</xdr:col>
          <xdr:colOff>228600</xdr:colOff>
          <xdr:row>18</xdr:row>
          <xdr:rowOff>144780</xdr:rowOff>
        </xdr:from>
        <xdr:to>
          <xdr:col>0</xdr:col>
          <xdr:colOff>746760</xdr:colOff>
          <xdr:row>23</xdr:row>
          <xdr:rowOff>60960</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2A00-0000026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Delete Quote </a:t>
              </a:r>
            </a:p>
            <a:p>
              <a:pPr algn="ctr" rtl="0">
                <a:defRPr sz="1000"/>
              </a:pPr>
              <a:r>
                <a:rPr lang="en-US" sz="1000" b="0" i="0" u="none" strike="noStrike" baseline="0">
                  <a:solidFill>
                    <a:srgbClr val="000000"/>
                  </a:solidFill>
                  <a:latin typeface="Arial"/>
                  <a:cs typeface="Arial"/>
                </a:rPr>
                <a:t>Inputs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228600</xdr:colOff>
          <xdr:row>14</xdr:row>
          <xdr:rowOff>144780</xdr:rowOff>
        </xdr:from>
        <xdr:to>
          <xdr:col>0</xdr:col>
          <xdr:colOff>731520</xdr:colOff>
          <xdr:row>18</xdr:row>
          <xdr:rowOff>30480</xdr:rowOff>
        </xdr:to>
        <xdr:sp macro="" textlink="">
          <xdr:nvSpPr>
            <xdr:cNvPr id="26628" name="Button 4" hidden="1">
              <a:extLst>
                <a:ext uri="{63B3BB69-23CF-44E3-9099-C40C66FF867C}">
                  <a14:compatExt spid="_x0000_s26628"/>
                </a:ext>
                <a:ext uri="{FF2B5EF4-FFF2-40B4-BE49-F238E27FC236}">
                  <a16:creationId xmlns:a16="http://schemas.microsoft.com/office/drawing/2014/main" id="{00000000-0008-0000-2A00-0000046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Main</a:t>
              </a:r>
            </a:p>
            <a:p>
              <a:pPr algn="ctr" rtl="0">
                <a:defRPr sz="1000"/>
              </a:pPr>
              <a:r>
                <a:rPr lang="en-US" sz="1000" b="0" i="0" u="none" strike="noStrike" baseline="0">
                  <a:solidFill>
                    <a:srgbClr val="000000"/>
                  </a:solidFill>
                  <a:latin typeface="Arial"/>
                  <a:cs typeface="Arial"/>
                </a:rPr>
                <a:t>Tab</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drawing" Target="../drawings/drawing5.xml"/><Relationship Id="rId7" Type="http://schemas.openxmlformats.org/officeDocument/2006/relationships/ctrlProp" Target="../ctrlProps/ctrlProp1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drawing" Target="../drawings/drawing6.xml"/><Relationship Id="rId7" Type="http://schemas.openxmlformats.org/officeDocument/2006/relationships/ctrlProp" Target="../ctrlProps/ctrlProp1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drawing" Target="../drawings/drawing8.x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vmlDrawing" Target="../drawings/vmlDrawing9.vml"/><Relationship Id="rId9" Type="http://schemas.openxmlformats.org/officeDocument/2006/relationships/ctrlProp" Target="../ctrlProps/ctrlProp27.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drawing" Target="../drawings/drawing10.xml"/><Relationship Id="rId7" Type="http://schemas.openxmlformats.org/officeDocument/2006/relationships/ctrlProp" Target="../ctrlProps/ctrlProp35.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drawing" Target="../drawings/drawing11.xml"/><Relationship Id="rId7" Type="http://schemas.openxmlformats.org/officeDocument/2006/relationships/ctrlProp" Target="../ctrlProps/ctrlProp39.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drawing" Target="../drawings/drawing12.xml"/><Relationship Id="rId7" Type="http://schemas.openxmlformats.org/officeDocument/2006/relationships/ctrlProp" Target="../ctrlProps/ctrlProp43.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7" Type="http://schemas.openxmlformats.org/officeDocument/2006/relationships/ctrlProp" Target="../ctrlProps/ctrlProp47.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ctrlProp" Target="../ctrlProps/ctrlProp46.xml"/><Relationship Id="rId5" Type="http://schemas.openxmlformats.org/officeDocument/2006/relationships/ctrlProp" Target="../ctrlProps/ctrlProp45.xml"/><Relationship Id="rId4"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4.xml"/><Relationship Id="rId7" Type="http://schemas.openxmlformats.org/officeDocument/2006/relationships/ctrlProp" Target="../ctrlProps/ctrlProp50.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66.bin"/><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67.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17.xml"/><Relationship Id="rId7" Type="http://schemas.openxmlformats.org/officeDocument/2006/relationships/ctrlProp" Target="../ctrlProps/ctrlProp58.xml"/><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ctrlProp" Target="../ctrlProps/ctrlProp57.xml"/><Relationship Id="rId5" Type="http://schemas.openxmlformats.org/officeDocument/2006/relationships/ctrlProp" Target="../ctrlProps/ctrlProp56.xml"/><Relationship Id="rId4" Type="http://schemas.openxmlformats.org/officeDocument/2006/relationships/vmlDrawing" Target="../drawings/vmlDrawing18.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18.xml"/><Relationship Id="rId7" Type="http://schemas.openxmlformats.org/officeDocument/2006/relationships/ctrlProp" Target="../ctrlProps/ctrlProp61.xml"/><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vmlDrawing" Target="../drawings/vmlDrawing19.v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19.xml"/><Relationship Id="rId7" Type="http://schemas.openxmlformats.org/officeDocument/2006/relationships/ctrlProp" Target="../ctrlProps/ctrlProp64.xml"/><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vmlDrawing" Target="../drawings/vmlDrawing20.v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ctrlProp" Target="../ctrlProps/ctrlProp66.xml"/><Relationship Id="rId5" Type="http://schemas.openxmlformats.org/officeDocument/2006/relationships/ctrlProp" Target="../ctrlProps/ctrlProp65.xml"/><Relationship Id="rId4" Type="http://schemas.openxmlformats.org/officeDocument/2006/relationships/vmlDrawing" Target="../drawings/vmlDrawing21.v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76.bin"/><Relationship Id="rId6" Type="http://schemas.openxmlformats.org/officeDocument/2006/relationships/ctrlProp" Target="../ctrlProps/ctrlProp69.xml"/><Relationship Id="rId5" Type="http://schemas.openxmlformats.org/officeDocument/2006/relationships/ctrlProp" Target="../ctrlProps/ctrlProp68.xml"/><Relationship Id="rId4" Type="http://schemas.openxmlformats.org/officeDocument/2006/relationships/ctrlProp" Target="../ctrlProps/ctrlProp67.x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22.xml"/><Relationship Id="rId7" Type="http://schemas.openxmlformats.org/officeDocument/2006/relationships/ctrlProp" Target="../ctrlProps/ctrlProp72.xml"/><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vmlDrawing" Target="../drawings/vmlDrawing24.vm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ctrlProp" Target="../ctrlProps/ctrlProp76.xml"/><Relationship Id="rId5" Type="http://schemas.openxmlformats.org/officeDocument/2006/relationships/ctrlProp" Target="../ctrlProps/ctrlProp75.xml"/><Relationship Id="rId4" Type="http://schemas.openxmlformats.org/officeDocument/2006/relationships/vmlDrawing" Target="../drawings/vmlDrawing2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5">
    <tabColor rgb="FFCCFFCC"/>
  </sheetPr>
  <dimension ref="C1:K60"/>
  <sheetViews>
    <sheetView showGridLines="0" showRowColHeaders="0" tabSelected="1" zoomScale="118" zoomScaleNormal="118" workbookViewId="0">
      <selection activeCell="D4" sqref="D4:J5"/>
    </sheetView>
  </sheetViews>
  <sheetFormatPr defaultColWidth="8.88671875" defaultRowHeight="13.2" x14ac:dyDescent="0.25"/>
  <cols>
    <col min="1" max="1" width="15.6640625" style="102" customWidth="1"/>
    <col min="2" max="2" width="5.6640625" style="102" customWidth="1"/>
    <col min="3" max="3" width="12.6640625" style="102" customWidth="1"/>
    <col min="4" max="5" width="8.88671875" style="102"/>
    <col min="6" max="6" width="8.88671875" style="102" customWidth="1"/>
    <col min="7" max="7" width="8.88671875" style="102"/>
    <col min="8" max="8" width="8.88671875" style="102" customWidth="1"/>
    <col min="9" max="10" width="8.88671875" style="102"/>
    <col min="11" max="11" width="12.6640625" style="102" customWidth="1"/>
    <col min="12" max="16384" width="8.88671875" style="102"/>
  </cols>
  <sheetData>
    <row r="1" spans="3:11" ht="13.8" thickBot="1" x14ac:dyDescent="0.3">
      <c r="C1" s="1742"/>
      <c r="D1" s="1743"/>
      <c r="E1" s="1743"/>
      <c r="F1" s="1743"/>
      <c r="G1" s="1743"/>
      <c r="H1" s="1743"/>
      <c r="I1" s="1743"/>
      <c r="J1" s="1743"/>
      <c r="K1" s="1744"/>
    </row>
    <row r="2" spans="3:11" ht="28.2" thickTop="1" x14ac:dyDescent="0.45">
      <c r="C2" s="1745"/>
      <c r="D2" s="1792" t="s">
        <v>746</v>
      </c>
      <c r="E2" s="1793"/>
      <c r="F2" s="1793"/>
      <c r="G2" s="1793"/>
      <c r="H2" s="1793"/>
      <c r="I2" s="1793"/>
      <c r="J2" s="1794"/>
      <c r="K2" s="1746"/>
    </row>
    <row r="3" spans="3:11" ht="28.2" thickBot="1" x14ac:dyDescent="0.5">
      <c r="C3" s="1747"/>
      <c r="D3" s="1795" t="s">
        <v>743</v>
      </c>
      <c r="E3" s="1796"/>
      <c r="F3" s="1796"/>
      <c r="G3" s="1796"/>
      <c r="H3" s="1796"/>
      <c r="I3" s="1796"/>
      <c r="J3" s="1797"/>
      <c r="K3" s="1748"/>
    </row>
    <row r="4" spans="3:11" ht="12.75" customHeight="1" x14ac:dyDescent="0.25">
      <c r="C4" s="1745"/>
      <c r="D4" s="1798" t="s">
        <v>672</v>
      </c>
      <c r="E4" s="1799"/>
      <c r="F4" s="1799"/>
      <c r="G4" s="1799"/>
      <c r="H4" s="1799"/>
      <c r="I4" s="1799"/>
      <c r="J4" s="1800"/>
      <c r="K4" s="1749"/>
    </row>
    <row r="5" spans="3:11" ht="13.8" thickBot="1" x14ac:dyDescent="0.3">
      <c r="C5" s="1750"/>
      <c r="D5" s="1801"/>
      <c r="E5" s="1802"/>
      <c r="F5" s="1802"/>
      <c r="G5" s="1802"/>
      <c r="H5" s="1802"/>
      <c r="I5" s="1802"/>
      <c r="J5" s="1803"/>
      <c r="K5" s="1749"/>
    </row>
    <row r="6" spans="3:11" ht="13.8" thickTop="1" x14ac:dyDescent="0.25">
      <c r="C6" s="1745"/>
      <c r="D6" s="1740"/>
      <c r="E6" s="1740"/>
      <c r="F6" s="1740"/>
      <c r="G6" s="1740"/>
      <c r="H6" s="1740"/>
      <c r="I6" s="1740"/>
      <c r="J6" s="1740"/>
      <c r="K6" s="1751"/>
    </row>
    <row r="7" spans="3:11" x14ac:dyDescent="0.25">
      <c r="C7" s="1745"/>
      <c r="D7" s="1740"/>
      <c r="E7" s="1740"/>
      <c r="F7" s="1740"/>
      <c r="G7" s="1740"/>
      <c r="H7" s="1740"/>
      <c r="I7" s="1740"/>
      <c r="J7" s="1740"/>
      <c r="K7" s="1751"/>
    </row>
    <row r="8" spans="3:11" x14ac:dyDescent="0.25">
      <c r="C8" s="1745"/>
      <c r="D8" s="1740"/>
      <c r="E8" s="1740"/>
      <c r="F8" s="1740"/>
      <c r="G8" s="1740"/>
      <c r="H8" s="1740"/>
      <c r="I8" s="1740"/>
      <c r="J8" s="1740"/>
      <c r="K8" s="1751"/>
    </row>
    <row r="9" spans="3:11" x14ac:dyDescent="0.25">
      <c r="C9" s="1745"/>
      <c r="D9" s="1740"/>
      <c r="E9" s="1740"/>
      <c r="F9" s="1740"/>
      <c r="G9" s="1740"/>
      <c r="H9" s="1740"/>
      <c r="I9" s="1740"/>
      <c r="J9" s="1740"/>
      <c r="K9" s="1751"/>
    </row>
    <row r="10" spans="3:11" x14ac:dyDescent="0.25">
      <c r="C10" s="1745"/>
      <c r="D10" s="1740"/>
      <c r="E10" s="1740"/>
      <c r="F10" s="1740"/>
      <c r="G10" s="1740"/>
      <c r="H10" s="1740"/>
      <c r="I10" s="1740"/>
      <c r="J10" s="1740"/>
      <c r="K10" s="1751"/>
    </row>
    <row r="11" spans="3:11" x14ac:dyDescent="0.25">
      <c r="C11" s="1745"/>
      <c r="D11" s="1791"/>
      <c r="E11" s="1791"/>
      <c r="F11" s="1740"/>
      <c r="G11" s="1740"/>
      <c r="H11" s="1791"/>
      <c r="I11" s="1791"/>
      <c r="J11" s="1740"/>
      <c r="K11" s="1751"/>
    </row>
    <row r="12" spans="3:11" x14ac:dyDescent="0.25">
      <c r="C12" s="1745"/>
      <c r="D12" s="1791"/>
      <c r="E12" s="1791"/>
      <c r="F12" s="1740"/>
      <c r="G12" s="1740"/>
      <c r="H12" s="1791"/>
      <c r="I12" s="1791"/>
      <c r="J12" s="1740"/>
      <c r="K12" s="1751"/>
    </row>
    <row r="13" spans="3:11" x14ac:dyDescent="0.25">
      <c r="C13" s="1745"/>
      <c r="D13" s="1740"/>
      <c r="E13" s="1740"/>
      <c r="F13" s="1740"/>
      <c r="G13" s="1740"/>
      <c r="H13" s="1740"/>
      <c r="I13" s="1740"/>
      <c r="J13" s="1740"/>
      <c r="K13" s="1751"/>
    </row>
    <row r="14" spans="3:11" x14ac:dyDescent="0.25">
      <c r="C14" s="1745"/>
      <c r="D14" s="1740"/>
      <c r="E14" s="1740"/>
      <c r="F14" s="1740"/>
      <c r="G14" s="1740"/>
      <c r="H14" s="1740"/>
      <c r="I14" s="1740"/>
      <c r="J14" s="1740"/>
      <c r="K14" s="1751"/>
    </row>
    <row r="15" spans="3:11" x14ac:dyDescent="0.25">
      <c r="C15" s="1745"/>
      <c r="D15" s="1740"/>
      <c r="E15" s="1740"/>
      <c r="F15" s="1740"/>
      <c r="G15" s="1740"/>
      <c r="H15" s="1740"/>
      <c r="I15" s="1740"/>
      <c r="J15" s="1740"/>
      <c r="K15" s="1751"/>
    </row>
    <row r="16" spans="3:11" x14ac:dyDescent="0.25">
      <c r="C16" s="1745"/>
      <c r="D16" s="1740"/>
      <c r="E16" s="1740"/>
      <c r="F16" s="1740"/>
      <c r="G16" s="1740"/>
      <c r="H16" s="1740"/>
      <c r="I16" s="1740"/>
      <c r="J16" s="1740"/>
      <c r="K16" s="1751"/>
    </row>
    <row r="17" spans="3:11" x14ac:dyDescent="0.25">
      <c r="C17" s="1745"/>
      <c r="D17" s="1791"/>
      <c r="E17" s="1791"/>
      <c r="F17" s="1740"/>
      <c r="G17" s="1740"/>
      <c r="H17" s="1791"/>
      <c r="I17" s="1791"/>
      <c r="J17" s="1740"/>
      <c r="K17" s="1751"/>
    </row>
    <row r="18" spans="3:11" x14ac:dyDescent="0.25">
      <c r="C18" s="1745"/>
      <c r="D18" s="1791"/>
      <c r="E18" s="1791"/>
      <c r="F18" s="1740"/>
      <c r="G18" s="1740"/>
      <c r="H18" s="1791"/>
      <c r="I18" s="1791"/>
      <c r="J18" s="1740"/>
      <c r="K18" s="1751"/>
    </row>
    <row r="19" spans="3:11" x14ac:dyDescent="0.25">
      <c r="C19" s="1745"/>
      <c r="D19" s="1740"/>
      <c r="E19" s="1740"/>
      <c r="F19" s="1740"/>
      <c r="G19" s="1740"/>
      <c r="H19" s="1740"/>
      <c r="I19" s="1740"/>
      <c r="J19" s="1740"/>
      <c r="K19" s="1751"/>
    </row>
    <row r="20" spans="3:11" x14ac:dyDescent="0.25">
      <c r="C20" s="1745"/>
      <c r="D20" s="1740"/>
      <c r="E20" s="1740"/>
      <c r="F20" s="1740"/>
      <c r="G20" s="1740"/>
      <c r="H20" s="1740"/>
      <c r="I20" s="1740"/>
      <c r="J20" s="1740"/>
      <c r="K20" s="1751"/>
    </row>
    <row r="21" spans="3:11" x14ac:dyDescent="0.25">
      <c r="C21" s="1745"/>
      <c r="D21" s="1740"/>
      <c r="E21" s="1740"/>
      <c r="F21" s="1740"/>
      <c r="G21" s="1740"/>
      <c r="H21" s="1740"/>
      <c r="I21" s="1740"/>
      <c r="J21" s="1741"/>
      <c r="K21" s="1752"/>
    </row>
    <row r="22" spans="3:11" ht="13.8" thickBot="1" x14ac:dyDescent="0.3">
      <c r="C22" s="1753"/>
      <c r="D22" s="1754"/>
      <c r="E22" s="1754"/>
      <c r="F22" s="1754"/>
      <c r="G22" s="1754"/>
      <c r="H22" s="1754"/>
      <c r="I22" s="1754"/>
      <c r="J22" s="1755">
        <v>45690</v>
      </c>
      <c r="K22" s="1756" t="s">
        <v>1418</v>
      </c>
    </row>
    <row r="24" spans="3:11" x14ac:dyDescent="0.25">
      <c r="C24" s="1563" t="s">
        <v>1419</v>
      </c>
    </row>
    <row r="25" spans="3:11" x14ac:dyDescent="0.25">
      <c r="C25" s="1563" t="s">
        <v>1427</v>
      </c>
    </row>
    <row r="26" spans="3:11" x14ac:dyDescent="0.25">
      <c r="C26" s="1563" t="s">
        <v>1421</v>
      </c>
    </row>
    <row r="28" spans="3:11" x14ac:dyDescent="0.25">
      <c r="C28" s="808" t="s">
        <v>1420</v>
      </c>
      <c r="D28" s="1563"/>
      <c r="E28" s="1563"/>
    </row>
    <row r="29" spans="3:11" x14ac:dyDescent="0.25">
      <c r="C29" s="808" t="s">
        <v>1414</v>
      </c>
      <c r="D29" s="1563"/>
      <c r="E29" s="1563"/>
    </row>
    <row r="30" spans="3:11" x14ac:dyDescent="0.25">
      <c r="C30" s="808"/>
    </row>
    <row r="31" spans="3:11" x14ac:dyDescent="0.25">
      <c r="C31" s="808" t="s">
        <v>1406</v>
      </c>
      <c r="D31" s="808"/>
      <c r="E31" s="808"/>
    </row>
    <row r="32" spans="3:11" x14ac:dyDescent="0.25">
      <c r="C32" s="808" t="s">
        <v>1401</v>
      </c>
      <c r="D32" s="808"/>
      <c r="E32" s="808"/>
    </row>
    <row r="33" spans="3:3" x14ac:dyDescent="0.25">
      <c r="C33" s="1563"/>
    </row>
    <row r="34" spans="3:3" x14ac:dyDescent="0.25">
      <c r="C34" s="1682" t="s">
        <v>1405</v>
      </c>
    </row>
    <row r="35" spans="3:3" x14ac:dyDescent="0.25">
      <c r="C35" s="1682" t="s">
        <v>1378</v>
      </c>
    </row>
    <row r="36" spans="3:3" x14ac:dyDescent="0.25">
      <c r="C36" s="1682" t="s">
        <v>1377</v>
      </c>
    </row>
    <row r="38" spans="3:3" x14ac:dyDescent="0.25">
      <c r="C38" s="808" t="s">
        <v>1404</v>
      </c>
    </row>
    <row r="39" spans="3:3" x14ac:dyDescent="0.25">
      <c r="C39" s="808" t="s">
        <v>1373</v>
      </c>
    </row>
    <row r="41" spans="3:3" x14ac:dyDescent="0.25">
      <c r="C41" s="808" t="s">
        <v>1403</v>
      </c>
    </row>
    <row r="42" spans="3:3" x14ac:dyDescent="0.25">
      <c r="C42" s="808" t="s">
        <v>1363</v>
      </c>
    </row>
    <row r="43" spans="3:3" x14ac:dyDescent="0.25">
      <c r="C43" s="808" t="s">
        <v>1364</v>
      </c>
    </row>
    <row r="45" spans="3:3" x14ac:dyDescent="0.25">
      <c r="C45" s="808" t="s">
        <v>1402</v>
      </c>
    </row>
    <row r="46" spans="3:3" x14ac:dyDescent="0.25">
      <c r="C46" s="808" t="s">
        <v>1361</v>
      </c>
    </row>
    <row r="47" spans="3:3" x14ac:dyDescent="0.25">
      <c r="C47" s="808" t="s">
        <v>1362</v>
      </c>
    </row>
    <row r="48" spans="3:3" x14ac:dyDescent="0.25">
      <c r="C48" s="1563"/>
    </row>
    <row r="49" spans="3:3" x14ac:dyDescent="0.25">
      <c r="C49" s="808" t="s">
        <v>1355</v>
      </c>
    </row>
    <row r="50" spans="3:3" x14ac:dyDescent="0.25">
      <c r="C50" s="808" t="s">
        <v>1316</v>
      </c>
    </row>
    <row r="52" spans="3:3" x14ac:dyDescent="0.25">
      <c r="C52" s="808" t="s">
        <v>1321</v>
      </c>
    </row>
    <row r="53" spans="3:3" x14ac:dyDescent="0.25">
      <c r="C53" s="808" t="s">
        <v>1316</v>
      </c>
    </row>
    <row r="55" spans="3:3" x14ac:dyDescent="0.25">
      <c r="C55" s="808" t="s">
        <v>1322</v>
      </c>
    </row>
    <row r="56" spans="3:3" x14ac:dyDescent="0.25">
      <c r="C56" s="808" t="s">
        <v>1311</v>
      </c>
    </row>
    <row r="57" spans="3:3" x14ac:dyDescent="0.25">
      <c r="C57" s="808" t="s">
        <v>1312</v>
      </c>
    </row>
    <row r="58" spans="3:3" x14ac:dyDescent="0.25">
      <c r="C58" s="808" t="s">
        <v>1313</v>
      </c>
    </row>
    <row r="59" spans="3:3" x14ac:dyDescent="0.25">
      <c r="C59" s="1559" t="s">
        <v>1314</v>
      </c>
    </row>
    <row r="60" spans="3:3" x14ac:dyDescent="0.25">
      <c r="C60" s="1559" t="s">
        <v>1315</v>
      </c>
    </row>
  </sheetData>
  <sheetProtection algorithmName="SHA-512" hashValue="n8ONtQIBVvA6ZufXrf23+Xt9/7ZISg4tfroS5dva4HQEy7n8AV/7iJ0GYldrgzIfchM9y0aE5YGj9EN2oVWtPA==" saltValue="P9kT1WHcfOBm0VFcTmKb3w==" spinCount="100000" sheet="1" selectLockedCells="1"/>
  <customSheetViews>
    <customSheetView guid="{BC429C65-53B8-4F97-88D2-74ECCD734800}" showGridLines="0" showRowCol="0" topLeftCell="B1">
      <selection activeCell="D4" sqref="D4:J5"/>
      <pageMargins left="0.25" right="0.25" top="1" bottom="0.5" header="0.5" footer="0.5"/>
      <printOptions horizontalCentered="1"/>
      <pageSetup scale="90" orientation="portrait" r:id="rId1"/>
      <headerFooter alignWithMargins="0"/>
    </customSheetView>
  </customSheetViews>
  <mergeCells count="7">
    <mergeCell ref="D17:E18"/>
    <mergeCell ref="H17:I18"/>
    <mergeCell ref="D2:J2"/>
    <mergeCell ref="D3:J3"/>
    <mergeCell ref="D11:E12"/>
    <mergeCell ref="H11:I12"/>
    <mergeCell ref="D4:J5"/>
  </mergeCells>
  <phoneticPr fontId="21" type="noConversion"/>
  <printOptions horizontalCentered="1"/>
  <pageMargins left="0.25" right="0.25" top="1" bottom="0.5" header="0.5" footer="0.5"/>
  <pageSetup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6146" r:id="rId5" name="Button 2">
              <controlPr defaultSize="0" autoFill="0" autoPict="0" macro="[0]!four">
                <anchor moveWithCells="1" sizeWithCells="1">
                  <from>
                    <xdr:col>3</xdr:col>
                    <xdr:colOff>0</xdr:colOff>
                    <xdr:row>9</xdr:row>
                    <xdr:rowOff>7620</xdr:rowOff>
                  </from>
                  <to>
                    <xdr:col>5</xdr:col>
                    <xdr:colOff>0</xdr:colOff>
                    <xdr:row>11</xdr:row>
                    <xdr:rowOff>213360</xdr:rowOff>
                  </to>
                </anchor>
              </controlPr>
            </control>
          </mc:Choice>
        </mc:AlternateContent>
        <mc:AlternateContent xmlns:mc="http://schemas.openxmlformats.org/markup-compatibility/2006">
          <mc:Choice Requires="x14">
            <control shapeId="6149" r:id="rId6" name="Button 5">
              <controlPr defaultSize="0" autoFill="0" autoPict="0" macro="[0]!three">
                <anchor moveWithCells="1" sizeWithCells="1">
                  <from>
                    <xdr:col>7</xdr:col>
                    <xdr:colOff>640080</xdr:colOff>
                    <xdr:row>9</xdr:row>
                    <xdr:rowOff>7620</xdr:rowOff>
                  </from>
                  <to>
                    <xdr:col>9</xdr:col>
                    <xdr:colOff>784860</xdr:colOff>
                    <xdr:row>12</xdr:row>
                    <xdr:rowOff>0</xdr:rowOff>
                  </to>
                </anchor>
              </controlPr>
            </control>
          </mc:Choice>
        </mc:AlternateContent>
        <mc:AlternateContent xmlns:mc="http://schemas.openxmlformats.org/markup-compatibility/2006">
          <mc:Choice Requires="x14">
            <control shapeId="6150" r:id="rId7" name="Button 6">
              <controlPr defaultSize="0" autoFill="0" autoPict="0" macro="[0]!Five">
                <anchor moveWithCells="1">
                  <from>
                    <xdr:col>3</xdr:col>
                    <xdr:colOff>0</xdr:colOff>
                    <xdr:row>14</xdr:row>
                    <xdr:rowOff>213360</xdr:rowOff>
                  </from>
                  <to>
                    <xdr:col>5</xdr:col>
                    <xdr:colOff>0</xdr:colOff>
                    <xdr:row>18</xdr:row>
                    <xdr:rowOff>0</xdr:rowOff>
                  </to>
                </anchor>
              </controlPr>
            </control>
          </mc:Choice>
        </mc:AlternateContent>
        <mc:AlternateContent xmlns:mc="http://schemas.openxmlformats.org/markup-compatibility/2006">
          <mc:Choice Requires="x14">
            <control shapeId="6151" r:id="rId8" name="Button 7">
              <controlPr defaultSize="0" autoFill="0" autoPict="0" macro="[0]!two">
                <anchor moveWithCells="1">
                  <from>
                    <xdr:col>7</xdr:col>
                    <xdr:colOff>678180</xdr:colOff>
                    <xdr:row>15</xdr:row>
                    <xdr:rowOff>7620</xdr:rowOff>
                  </from>
                  <to>
                    <xdr:col>10</xdr:col>
                    <xdr:colOff>7620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3">
    <tabColor rgb="FFFF0000"/>
  </sheetPr>
  <dimension ref="A1:I35"/>
  <sheetViews>
    <sheetView showGridLines="0" showRowColHeaders="0" zoomScale="140" zoomScaleNormal="140" workbookViewId="0">
      <selection activeCell="B8" sqref="B8:E8"/>
    </sheetView>
  </sheetViews>
  <sheetFormatPr defaultRowHeight="13.2" x14ac:dyDescent="0.25"/>
  <cols>
    <col min="2" max="2" width="4" customWidth="1"/>
    <col min="3" max="3" width="21.6640625" customWidth="1"/>
    <col min="4" max="4" width="9.5546875" customWidth="1"/>
  </cols>
  <sheetData>
    <row r="1" spans="1:9" ht="18" x14ac:dyDescent="0.35">
      <c r="A1" s="1568" t="s">
        <v>1324</v>
      </c>
      <c r="B1" s="1569"/>
      <c r="C1" s="1569"/>
      <c r="D1" s="1569"/>
      <c r="E1" s="1569"/>
      <c r="F1" s="1569"/>
      <c r="G1" s="1569"/>
      <c r="H1" s="1569"/>
      <c r="I1" s="1569"/>
    </row>
    <row r="2" spans="1:9" ht="15.6" x14ac:dyDescent="0.3">
      <c r="A2" s="1570" t="s">
        <v>1325</v>
      </c>
      <c r="B2" s="1569"/>
      <c r="C2" s="1569"/>
      <c r="D2" s="1569"/>
      <c r="E2" s="1569"/>
      <c r="F2" s="1569"/>
      <c r="G2" s="1569"/>
      <c r="H2" s="1569"/>
      <c r="I2" s="1569"/>
    </row>
    <row r="3" spans="1:9" ht="15.6" x14ac:dyDescent="0.3">
      <c r="A3" s="1570"/>
      <c r="B3" s="1569"/>
      <c r="C3" s="1569"/>
      <c r="D3" s="1569"/>
      <c r="E3" s="1569"/>
      <c r="F3" s="1569"/>
      <c r="G3" s="1569"/>
      <c r="H3" s="1569"/>
      <c r="I3" s="1569"/>
    </row>
    <row r="4" spans="1:9" ht="18" customHeight="1" thickBot="1" x14ac:dyDescent="0.3">
      <c r="A4" t="s">
        <v>1326</v>
      </c>
      <c r="D4" s="1804" t="str">
        <f>'PR Part I Info'!B8</f>
        <v>Enter Information from CP Form</v>
      </c>
      <c r="E4" s="1804"/>
      <c r="G4" t="s">
        <v>1327</v>
      </c>
      <c r="H4" s="1804"/>
      <c r="I4" s="1804"/>
    </row>
    <row r="5" spans="1:9" ht="18" customHeight="1" thickBot="1" x14ac:dyDescent="0.3">
      <c r="A5" s="44" t="s">
        <v>1350</v>
      </c>
      <c r="D5" s="1581" t="str">
        <f>'PR Part I Info'!F12</f>
        <v>Enter Information from CP Form</v>
      </c>
      <c r="E5" s="1581"/>
      <c r="F5" s="1581"/>
    </row>
    <row r="6" spans="1:9" ht="18" customHeight="1" thickBot="1" x14ac:dyDescent="0.3">
      <c r="A6" t="s">
        <v>1328</v>
      </c>
      <c r="D6" s="1582" t="str">
        <f>'PR Part I Info'!B12</f>
        <v>Enter Information from CP Form</v>
      </c>
      <c r="E6" s="1582"/>
      <c r="F6" s="1582"/>
    </row>
    <row r="7" spans="1:9" ht="18" customHeight="1" thickBot="1" x14ac:dyDescent="0.3">
      <c r="A7" t="s">
        <v>1329</v>
      </c>
      <c r="D7" s="1583" t="str">
        <f>'PR Part I Info'!D17</f>
        <v>Enter Information from CP Form</v>
      </c>
      <c r="E7" s="1582"/>
      <c r="F7" s="1582"/>
    </row>
    <row r="8" spans="1:9" ht="18" customHeight="1" thickBot="1" x14ac:dyDescent="0.3">
      <c r="A8" t="s">
        <v>1330</v>
      </c>
      <c r="D8" s="1583" t="str">
        <f>'PR Part I Info'!F29</f>
        <v>Enter Information from CP Form</v>
      </c>
      <c r="E8" s="1582"/>
      <c r="F8" s="1582"/>
    </row>
    <row r="9" spans="1:9" ht="18" customHeight="1" x14ac:dyDescent="0.25">
      <c r="A9" t="s">
        <v>1331</v>
      </c>
    </row>
    <row r="11" spans="1:9" x14ac:dyDescent="0.25">
      <c r="A11" s="1571"/>
      <c r="B11" s="1573" t="s">
        <v>1343</v>
      </c>
      <c r="C11" s="44" t="s">
        <v>1342</v>
      </c>
    </row>
    <row r="12" spans="1:9" x14ac:dyDescent="0.25">
      <c r="B12" s="1573" t="s">
        <v>1343</v>
      </c>
      <c r="C12" s="44" t="s">
        <v>650</v>
      </c>
    </row>
    <row r="13" spans="1:9" x14ac:dyDescent="0.25">
      <c r="B13" s="1573" t="s">
        <v>1343</v>
      </c>
      <c r="C13" s="44" t="s">
        <v>651</v>
      </c>
    </row>
    <row r="14" spans="1:9" x14ac:dyDescent="0.25">
      <c r="B14" s="1573" t="s">
        <v>1343</v>
      </c>
      <c r="C14" s="44" t="s">
        <v>1344</v>
      </c>
    </row>
    <row r="15" spans="1:9" x14ac:dyDescent="0.25">
      <c r="B15" s="1573" t="s">
        <v>1343</v>
      </c>
      <c r="C15" s="44" t="s">
        <v>653</v>
      </c>
    </row>
    <row r="16" spans="1:9" ht="13.8" thickBot="1" x14ac:dyDescent="0.3">
      <c r="B16" s="1573" t="s">
        <v>1343</v>
      </c>
      <c r="C16" s="44" t="s">
        <v>833</v>
      </c>
      <c r="D16" s="1807"/>
      <c r="E16" s="1807"/>
      <c r="F16" s="1807"/>
      <c r="G16" s="1807"/>
      <c r="H16" s="1807"/>
      <c r="I16" s="1807"/>
    </row>
    <row r="17" spans="1:9" x14ac:dyDescent="0.25">
      <c r="A17" s="1571"/>
    </row>
    <row r="18" spans="1:9" ht="18" customHeight="1" thickBot="1" x14ac:dyDescent="0.3">
      <c r="A18" t="s">
        <v>1332</v>
      </c>
      <c r="E18" s="1571"/>
      <c r="F18" s="14" t="s">
        <v>1333</v>
      </c>
      <c r="G18" s="1805">
        <f>'CP Part I Total'!E44</f>
        <v>0</v>
      </c>
      <c r="H18" s="1805"/>
      <c r="I18" s="1805"/>
    </row>
    <row r="19" spans="1:9" ht="18" customHeight="1" thickBot="1" x14ac:dyDescent="0.3">
      <c r="C19" s="1571" t="s">
        <v>1334</v>
      </c>
      <c r="E19" s="1571"/>
      <c r="F19" s="14" t="s">
        <v>1333</v>
      </c>
      <c r="G19" s="1806"/>
      <c r="H19" s="1806"/>
      <c r="I19" s="1806"/>
    </row>
    <row r="20" spans="1:9" ht="18" customHeight="1" thickBot="1" x14ac:dyDescent="0.3">
      <c r="C20" s="1571" t="s">
        <v>1335</v>
      </c>
      <c r="E20" s="1571"/>
      <c r="F20" s="14" t="s">
        <v>1333</v>
      </c>
      <c r="G20" s="1806"/>
      <c r="H20" s="1806"/>
      <c r="I20" s="1806"/>
    </row>
    <row r="22" spans="1:9" ht="13.8" thickBot="1" x14ac:dyDescent="0.3">
      <c r="A22" t="s">
        <v>1336</v>
      </c>
      <c r="F22" s="1584" t="s">
        <v>1333</v>
      </c>
      <c r="G22" s="1808">
        <f>('PR Part I Total'!E17)-('PR Part I Total'!D18)</f>
        <v>0</v>
      </c>
      <c r="H22" s="1808"/>
      <c r="I22" s="1808"/>
    </row>
    <row r="23" spans="1:9" x14ac:dyDescent="0.25">
      <c r="A23" t="s">
        <v>1337</v>
      </c>
    </row>
    <row r="24" spans="1:9" ht="18" customHeight="1" x14ac:dyDescent="0.25">
      <c r="B24" s="44" t="s">
        <v>1343</v>
      </c>
      <c r="C24" s="44" t="s">
        <v>1345</v>
      </c>
    </row>
    <row r="25" spans="1:9" ht="18" customHeight="1" thickBot="1" x14ac:dyDescent="0.3">
      <c r="C25" s="44" t="s">
        <v>1338</v>
      </c>
      <c r="D25" s="1572"/>
      <c r="E25" s="1571"/>
      <c r="F25" s="14" t="s">
        <v>1333</v>
      </c>
      <c r="G25" s="1807"/>
      <c r="H25" s="1807"/>
      <c r="I25" s="1807"/>
    </row>
    <row r="26" spans="1:9" ht="18" customHeight="1" thickBot="1" x14ac:dyDescent="0.3">
      <c r="B26" s="44" t="s">
        <v>1343</v>
      </c>
      <c r="C26" s="44" t="s">
        <v>1346</v>
      </c>
      <c r="F26" s="14" t="s">
        <v>1333</v>
      </c>
      <c r="G26" s="1806"/>
      <c r="H26" s="1806"/>
      <c r="I26" s="1806"/>
    </row>
    <row r="27" spans="1:9" ht="18" customHeight="1" thickBot="1" x14ac:dyDescent="0.3">
      <c r="B27" s="44" t="s">
        <v>1343</v>
      </c>
      <c r="C27" s="44" t="s">
        <v>1347</v>
      </c>
      <c r="F27" s="14" t="s">
        <v>1333</v>
      </c>
      <c r="G27" s="1806"/>
      <c r="H27" s="1806"/>
      <c r="I27" s="1806"/>
    </row>
    <row r="28" spans="1:9" ht="18" customHeight="1" thickBot="1" x14ac:dyDescent="0.3">
      <c r="B28" s="44" t="s">
        <v>1343</v>
      </c>
      <c r="C28" s="44" t="s">
        <v>1348</v>
      </c>
      <c r="F28" s="14" t="s">
        <v>1333</v>
      </c>
      <c r="G28" s="1806"/>
      <c r="H28" s="1806"/>
      <c r="I28" s="1806"/>
    </row>
    <row r="29" spans="1:9" ht="18" customHeight="1" thickBot="1" x14ac:dyDescent="0.3">
      <c r="B29" s="44" t="s">
        <v>1343</v>
      </c>
      <c r="C29" s="44" t="s">
        <v>1349</v>
      </c>
      <c r="F29" s="14" t="s">
        <v>1333</v>
      </c>
      <c r="G29" s="1806"/>
      <c r="H29" s="1806"/>
      <c r="I29" s="1806"/>
    </row>
    <row r="31" spans="1:9" ht="13.8" thickBot="1" x14ac:dyDescent="0.3">
      <c r="A31" t="s">
        <v>1339</v>
      </c>
      <c r="D31" s="1807"/>
      <c r="E31" s="1807"/>
      <c r="F31" s="1807"/>
      <c r="G31" s="1571" t="s">
        <v>170</v>
      </c>
      <c r="H31" s="1807"/>
      <c r="I31" s="1807"/>
    </row>
    <row r="33" spans="1:9" ht="13.8" thickBot="1" x14ac:dyDescent="0.3">
      <c r="A33" t="s">
        <v>1340</v>
      </c>
      <c r="D33" s="1807"/>
      <c r="E33" s="1807"/>
      <c r="F33" s="1807"/>
      <c r="G33" s="1571" t="s">
        <v>170</v>
      </c>
      <c r="H33" s="1807"/>
      <c r="I33" s="1807"/>
    </row>
    <row r="35" spans="1:9" x14ac:dyDescent="0.25">
      <c r="A35" t="s">
        <v>1341</v>
      </c>
    </row>
  </sheetData>
  <sheetProtection sheet="1" selectLockedCells="1"/>
  <mergeCells count="16">
    <mergeCell ref="D33:F33"/>
    <mergeCell ref="H33:I33"/>
    <mergeCell ref="D16:I16"/>
    <mergeCell ref="G25:I25"/>
    <mergeCell ref="G26:I26"/>
    <mergeCell ref="G27:I27"/>
    <mergeCell ref="G28:I28"/>
    <mergeCell ref="G29:I29"/>
    <mergeCell ref="D31:F31"/>
    <mergeCell ref="H31:I31"/>
    <mergeCell ref="G22:I22"/>
    <mergeCell ref="D4:E4"/>
    <mergeCell ref="H4:I4"/>
    <mergeCell ref="G18:I18"/>
    <mergeCell ref="G19:I19"/>
    <mergeCell ref="G20:I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tint="-4.9989318521683403E-2"/>
  </sheetPr>
  <dimension ref="A1:L39"/>
  <sheetViews>
    <sheetView showGridLines="0" showRowColHeaders="0" showZeros="0" showOutlineSymbols="0" zoomScale="120" zoomScaleNormal="120" workbookViewId="0">
      <selection activeCell="B6" sqref="B6:I8"/>
    </sheetView>
  </sheetViews>
  <sheetFormatPr defaultColWidth="9.109375" defaultRowHeight="15" x14ac:dyDescent="0.25"/>
  <cols>
    <col min="1" max="1" width="13.6640625" style="218" customWidth="1"/>
    <col min="2" max="2" width="18.6640625" style="213" customWidth="1"/>
    <col min="3" max="8" width="9.109375" style="213"/>
    <col min="9" max="9" width="18.6640625" style="213" customWidth="1"/>
    <col min="10" max="16384" width="9.109375" style="213"/>
  </cols>
  <sheetData>
    <row r="1" spans="1:9" ht="19.2" customHeight="1" x14ac:dyDescent="0.25"/>
    <row r="2" spans="1:9" ht="18" customHeight="1" x14ac:dyDescent="0.35">
      <c r="B2" s="1849" t="s">
        <v>625</v>
      </c>
      <c r="C2" s="1849"/>
      <c r="D2" s="1849"/>
      <c r="E2" s="1849"/>
      <c r="F2" s="1849"/>
      <c r="G2" s="1849"/>
      <c r="H2" s="1849"/>
      <c r="I2" s="1849"/>
    </row>
    <row r="3" spans="1:9" ht="18" customHeight="1" x14ac:dyDescent="0.3">
      <c r="B3" s="1850" t="s">
        <v>626</v>
      </c>
      <c r="C3" s="1850"/>
      <c r="D3" s="1850"/>
      <c r="E3" s="1850"/>
      <c r="F3" s="1850"/>
      <c r="G3" s="1850"/>
      <c r="H3" s="1850"/>
      <c r="I3" s="1850"/>
    </row>
    <row r="4" spans="1:9" ht="18" customHeight="1" x14ac:dyDescent="0.3">
      <c r="B4" s="1850" t="s">
        <v>627</v>
      </c>
      <c r="C4" s="1850"/>
      <c r="D4" s="1850"/>
      <c r="E4" s="1850"/>
      <c r="F4" s="1850"/>
      <c r="G4" s="1850"/>
      <c r="H4" s="1850"/>
      <c r="I4" s="1850"/>
    </row>
    <row r="5" spans="1:9" ht="18" customHeight="1" x14ac:dyDescent="0.25">
      <c r="B5" s="214"/>
      <c r="C5" s="214"/>
      <c r="D5" s="214"/>
      <c r="E5" s="214"/>
      <c r="F5" s="214"/>
      <c r="G5" s="214"/>
      <c r="H5" s="214"/>
      <c r="I5" s="214"/>
    </row>
    <row r="6" spans="1:9" ht="18" customHeight="1" thickBot="1" x14ac:dyDescent="0.35">
      <c r="B6" s="1851" t="s">
        <v>628</v>
      </c>
      <c r="C6" s="1851"/>
      <c r="D6" s="1851"/>
      <c r="E6" s="214"/>
      <c r="F6" s="214"/>
      <c r="G6" s="214"/>
      <c r="H6" s="214"/>
      <c r="I6" s="214"/>
    </row>
    <row r="7" spans="1:9" ht="18" customHeight="1" thickBot="1" x14ac:dyDescent="0.3">
      <c r="B7" s="1852" t="s">
        <v>629</v>
      </c>
      <c r="C7" s="1853"/>
      <c r="D7" s="1853"/>
      <c r="E7" s="1854"/>
      <c r="F7" s="1852" t="s">
        <v>630</v>
      </c>
      <c r="G7" s="1853"/>
      <c r="H7" s="1853"/>
      <c r="I7" s="1854"/>
    </row>
    <row r="8" spans="1:9" ht="36" customHeight="1" x14ac:dyDescent="0.3">
      <c r="A8" s="1054">
        <f>IF(B8="",0,1)</f>
        <v>0</v>
      </c>
      <c r="B8" s="1864"/>
      <c r="C8" s="1865"/>
      <c r="D8" s="1865"/>
      <c r="E8" s="1866"/>
      <c r="F8" s="1858"/>
      <c r="G8" s="1859"/>
      <c r="H8" s="1859"/>
      <c r="I8" s="1860"/>
    </row>
    <row r="9" spans="1:9" ht="18" customHeight="1" thickBot="1" x14ac:dyDescent="0.3">
      <c r="A9" s="1054">
        <f>IF(B9="",0,1)</f>
        <v>0</v>
      </c>
      <c r="B9" s="1846"/>
      <c r="C9" s="1847"/>
      <c r="D9" s="1847"/>
      <c r="E9" s="1848"/>
      <c r="F9" s="1861"/>
      <c r="G9" s="1862"/>
      <c r="H9" s="1862"/>
      <c r="I9" s="1863"/>
    </row>
    <row r="10" spans="1:9" ht="18" customHeight="1" thickBot="1" x14ac:dyDescent="0.3">
      <c r="A10" s="1054">
        <f>SUM(A9+A8)</f>
        <v>0</v>
      </c>
      <c r="B10" s="1867" t="s">
        <v>631</v>
      </c>
      <c r="C10" s="1868"/>
      <c r="D10" s="1868"/>
      <c r="E10" s="1869"/>
      <c r="F10" s="1867" t="s">
        <v>632</v>
      </c>
      <c r="G10" s="1868"/>
      <c r="H10" s="1868"/>
      <c r="I10" s="1869"/>
    </row>
    <row r="11" spans="1:9" ht="54" customHeight="1" thickBot="1" x14ac:dyDescent="0.3">
      <c r="B11" s="1870"/>
      <c r="C11" s="1871"/>
      <c r="D11" s="1871"/>
      <c r="E11" s="1872"/>
      <c r="F11" s="1870"/>
      <c r="G11" s="1871"/>
      <c r="H11" s="1871"/>
      <c r="I11" s="1872"/>
    </row>
    <row r="12" spans="1:9" ht="18" customHeight="1" x14ac:dyDescent="0.25">
      <c r="B12" s="214"/>
      <c r="C12" s="214"/>
      <c r="D12" s="214"/>
      <c r="E12" s="214"/>
      <c r="F12" s="214"/>
      <c r="G12" s="214"/>
      <c r="H12" s="214"/>
      <c r="I12" s="214"/>
    </row>
    <row r="13" spans="1:9" ht="18" customHeight="1" thickBot="1" x14ac:dyDescent="0.35">
      <c r="B13" s="1809" t="s">
        <v>633</v>
      </c>
      <c r="C13" s="1809"/>
      <c r="D13" s="1809"/>
      <c r="E13" s="214"/>
      <c r="F13" s="214"/>
      <c r="G13" s="214"/>
      <c r="H13" s="214"/>
      <c r="I13" s="214"/>
    </row>
    <row r="14" spans="1:9" ht="36" customHeight="1" thickBot="1" x14ac:dyDescent="0.3">
      <c r="B14" s="676" t="s">
        <v>640</v>
      </c>
      <c r="C14" s="217"/>
      <c r="D14" s="1870"/>
      <c r="E14" s="1871"/>
      <c r="F14" s="1871"/>
      <c r="G14" s="1871"/>
      <c r="H14" s="1871"/>
      <c r="I14" s="1872"/>
    </row>
    <row r="15" spans="1:9" ht="18" customHeight="1" x14ac:dyDescent="0.25">
      <c r="B15" s="676" t="s">
        <v>641</v>
      </c>
      <c r="C15" s="217"/>
      <c r="D15" s="1873"/>
      <c r="E15" s="1874"/>
      <c r="F15" s="1874"/>
      <c r="G15" s="1874"/>
      <c r="H15" s="1874"/>
      <c r="I15" s="1875"/>
    </row>
    <row r="16" spans="1:9" ht="18" customHeight="1" thickBot="1" x14ac:dyDescent="0.3">
      <c r="B16" s="959"/>
      <c r="C16" s="960"/>
      <c r="D16" s="1846"/>
      <c r="E16" s="1847"/>
      <c r="F16" s="1847"/>
      <c r="G16" s="1847"/>
      <c r="H16" s="1847"/>
      <c r="I16" s="1848"/>
    </row>
    <row r="17" spans="1:9" ht="18" customHeight="1" x14ac:dyDescent="0.25">
      <c r="B17" s="214"/>
      <c r="C17" s="214"/>
      <c r="D17" s="214"/>
      <c r="E17" s="214"/>
      <c r="F17" s="214"/>
      <c r="G17" s="214"/>
      <c r="H17" s="214"/>
      <c r="I17" s="214"/>
    </row>
    <row r="18" spans="1:9" ht="18" customHeight="1" thickBot="1" x14ac:dyDescent="0.35">
      <c r="B18" s="1851" t="s">
        <v>642</v>
      </c>
      <c r="C18" s="1851"/>
      <c r="D18" s="1851"/>
      <c r="E18" s="214"/>
      <c r="F18" s="214"/>
      <c r="G18" s="214"/>
      <c r="H18" s="214"/>
      <c r="I18" s="214"/>
    </row>
    <row r="19" spans="1:9" ht="36" customHeight="1" thickBot="1" x14ac:dyDescent="0.3">
      <c r="B19" s="676" t="s">
        <v>643</v>
      </c>
      <c r="C19" s="217"/>
      <c r="D19" s="1870"/>
      <c r="E19" s="1871"/>
      <c r="F19" s="1871"/>
      <c r="G19" s="1871"/>
      <c r="H19" s="1871"/>
      <c r="I19" s="1872"/>
    </row>
    <row r="20" spans="1:9" ht="18" customHeight="1" x14ac:dyDescent="0.25">
      <c r="B20" s="676" t="s">
        <v>644</v>
      </c>
      <c r="C20" s="217"/>
      <c r="D20" s="1873"/>
      <c r="E20" s="1874"/>
      <c r="F20" s="1874"/>
      <c r="G20" s="1874"/>
      <c r="H20" s="1874"/>
      <c r="I20" s="1875"/>
    </row>
    <row r="21" spans="1:9" ht="18" customHeight="1" thickBot="1" x14ac:dyDescent="0.3">
      <c r="B21" s="959"/>
      <c r="C21" s="960"/>
      <c r="D21" s="1846"/>
      <c r="E21" s="1847"/>
      <c r="F21" s="1847"/>
      <c r="G21" s="1847"/>
      <c r="H21" s="1847"/>
      <c r="I21" s="1848"/>
    </row>
    <row r="22" spans="1:9" ht="36" customHeight="1" x14ac:dyDescent="0.25">
      <c r="B22" s="1592"/>
      <c r="C22" s="1001"/>
      <c r="D22" s="1001"/>
      <c r="E22" s="1593"/>
      <c r="F22" s="1593"/>
      <c r="G22" s="1593"/>
      <c r="H22" s="1593"/>
      <c r="I22" s="1593"/>
    </row>
    <row r="23" spans="1:9" ht="18" customHeight="1" x14ac:dyDescent="0.25">
      <c r="B23" s="214"/>
      <c r="C23" s="214"/>
      <c r="D23" s="214"/>
      <c r="E23" s="214"/>
      <c r="F23" s="214"/>
      <c r="G23" s="214"/>
      <c r="H23" s="214"/>
      <c r="I23" s="214"/>
    </row>
    <row r="24" spans="1:9" ht="18" customHeight="1" thickBot="1" x14ac:dyDescent="0.35">
      <c r="B24" s="1809" t="s">
        <v>645</v>
      </c>
      <c r="C24" s="1809"/>
      <c r="D24" s="1809"/>
      <c r="E24" s="1809"/>
      <c r="F24" s="1809"/>
      <c r="G24" s="214"/>
      <c r="H24" s="214"/>
      <c r="I24" s="214"/>
    </row>
    <row r="25" spans="1:9" ht="18" customHeight="1" thickBot="1" x14ac:dyDescent="0.3">
      <c r="A25" s="1054">
        <f>IF(F25="",0,1)</f>
        <v>0</v>
      </c>
      <c r="B25" s="1006" t="s">
        <v>646</v>
      </c>
      <c r="C25" s="215"/>
      <c r="D25" s="215"/>
      <c r="E25" s="215"/>
      <c r="F25" s="1816"/>
      <c r="G25" s="1817"/>
      <c r="H25" s="1817"/>
      <c r="I25" s="1818"/>
    </row>
    <row r="26" spans="1:9" ht="18" customHeight="1" x14ac:dyDescent="0.25">
      <c r="A26" s="1054">
        <f>IF(F26="",0,1)</f>
        <v>0</v>
      </c>
      <c r="B26" s="1810" t="s">
        <v>647</v>
      </c>
      <c r="C26" s="1811"/>
      <c r="D26" s="1811"/>
      <c r="E26" s="1812"/>
      <c r="F26" s="1819"/>
      <c r="G26" s="1820"/>
      <c r="H26" s="1820"/>
      <c r="I26" s="1821"/>
    </row>
    <row r="27" spans="1:9" ht="18" customHeight="1" x14ac:dyDescent="0.25">
      <c r="A27" s="1054">
        <f>IF(F27="",0,1)</f>
        <v>0</v>
      </c>
      <c r="B27" s="1813"/>
      <c r="C27" s="1814"/>
      <c r="D27" s="1814"/>
      <c r="E27" s="1815"/>
      <c r="F27" s="1819"/>
      <c r="G27" s="1820"/>
      <c r="H27" s="1820"/>
      <c r="I27" s="1821"/>
    </row>
    <row r="28" spans="1:9" ht="18" customHeight="1" thickBot="1" x14ac:dyDescent="0.3">
      <c r="A28" s="1054">
        <f>IF(F28="",0,1)</f>
        <v>0</v>
      </c>
      <c r="B28" s="1057"/>
      <c r="C28" s="1058"/>
      <c r="D28" s="1058"/>
      <c r="E28" s="1058"/>
      <c r="F28" s="1855"/>
      <c r="G28" s="1856"/>
      <c r="H28" s="1856"/>
      <c r="I28" s="1857"/>
    </row>
    <row r="29" spans="1:9" ht="18" customHeight="1" thickBot="1" x14ac:dyDescent="0.3">
      <c r="A29" s="1054">
        <f>SUM(A25:A28)</f>
        <v>0</v>
      </c>
      <c r="B29" s="1832" t="s">
        <v>648</v>
      </c>
      <c r="C29" s="1833"/>
      <c r="D29" s="1828"/>
      <c r="E29" s="1828"/>
      <c r="F29" s="1828"/>
      <c r="G29" s="1828"/>
      <c r="H29" s="1828"/>
      <c r="I29" s="1829"/>
    </row>
    <row r="30" spans="1:9" ht="18" customHeight="1" thickBot="1" x14ac:dyDescent="0.3">
      <c r="B30" s="1832" t="s">
        <v>1189</v>
      </c>
      <c r="C30" s="1833"/>
      <c r="D30" s="1833"/>
      <c r="E30" s="1828"/>
      <c r="F30" s="1828"/>
      <c r="G30" s="1828"/>
      <c r="H30" s="1828"/>
      <c r="I30" s="1829"/>
    </row>
    <row r="31" spans="1:9" ht="18" customHeight="1" thickBot="1" x14ac:dyDescent="0.3">
      <c r="B31" s="1832" t="s">
        <v>1190</v>
      </c>
      <c r="C31" s="1833"/>
      <c r="D31" s="1833"/>
      <c r="E31" s="1834"/>
      <c r="F31" s="1835"/>
      <c r="G31" s="1835"/>
      <c r="H31" s="1835"/>
      <c r="I31" s="1836"/>
    </row>
    <row r="32" spans="1:9" ht="18" customHeight="1" x14ac:dyDescent="0.25">
      <c r="B32" s="1830"/>
      <c r="C32" s="1831"/>
      <c r="D32" s="1831"/>
      <c r="E32" s="1708"/>
      <c r="F32" s="1708"/>
      <c r="G32" s="1708"/>
      <c r="H32" s="1708"/>
      <c r="I32" s="1709"/>
    </row>
    <row r="33" spans="2:12" ht="15.6" thickBot="1" x14ac:dyDescent="0.3">
      <c r="B33" s="1822"/>
      <c r="C33" s="1823"/>
      <c r="D33" s="1824"/>
      <c r="E33" s="1824"/>
      <c r="F33" s="1824"/>
      <c r="G33" s="1824"/>
      <c r="H33" s="1824"/>
      <c r="I33" s="1825"/>
    </row>
    <row r="36" spans="2:12" ht="14.4" customHeight="1" x14ac:dyDescent="0.25"/>
    <row r="37" spans="2:12" ht="15" hidden="1" customHeight="1" x14ac:dyDescent="0.25">
      <c r="B37" s="1837" t="s">
        <v>1020</v>
      </c>
      <c r="C37" s="1838"/>
      <c r="D37" s="1838"/>
      <c r="E37" s="1838"/>
      <c r="F37" s="1838"/>
      <c r="G37" s="1838"/>
      <c r="H37" s="1838"/>
      <c r="I37" s="1838"/>
      <c r="J37" s="1838"/>
      <c r="K37" s="1839"/>
    </row>
    <row r="38" spans="2:12" ht="15.6" hidden="1" thickBot="1" x14ac:dyDescent="0.3">
      <c r="B38" s="678" t="s">
        <v>1009</v>
      </c>
      <c r="C38" s="1826" t="s">
        <v>1008</v>
      </c>
      <c r="D38" s="1827"/>
      <c r="E38" s="1056" t="s">
        <v>1007</v>
      </c>
      <c r="F38" s="1826" t="s">
        <v>1010</v>
      </c>
      <c r="G38" s="1842"/>
      <c r="H38" s="1827"/>
      <c r="I38" s="1843" t="s">
        <v>1018</v>
      </c>
      <c r="J38" s="1843"/>
      <c r="K38" s="1844"/>
    </row>
    <row r="39" spans="2:12" ht="19.95" hidden="1" customHeight="1" x14ac:dyDescent="0.25">
      <c r="B39" s="679" t="str">
        <f>IF('CP Part I Total'!$E$44=0,"",'CP Part I Total'!$E$44)</f>
        <v/>
      </c>
      <c r="C39" s="1840" t="str">
        <f>IF('CP Part I Info'!$F$11="","",'CP Part I Info'!$F$11)</f>
        <v/>
      </c>
      <c r="D39" s="1841"/>
      <c r="E39" s="1055" t="str">
        <f>IF('CP Part I Info'!$B$8="","",'CP Part I Info'!$B$8)</f>
        <v/>
      </c>
      <c r="F39" s="1840" t="str">
        <f>IF('CP Part I Info'!$B$11="","",'CP Part I Info'!$B$11)</f>
        <v/>
      </c>
      <c r="G39" s="1841"/>
      <c r="H39" s="1841"/>
      <c r="I39" s="1840" t="str">
        <f>IF('CP Part I Info'!$D$14="","",'CP Part I Info'!$D$14)</f>
        <v/>
      </c>
      <c r="J39" s="1841"/>
      <c r="K39" s="1845"/>
      <c r="L39" s="435"/>
    </row>
  </sheetData>
  <sheetProtection algorithmName="SHA-512" hashValue="4wGgs3El0qG0n3f4ltYuV+dvnZ9IJg01cKR6DAUNWSUh3GgodJMilaJnxPbOfHuo7Qr5uJh4/fCtkj1rskdTYQ==" saltValue="cUl4I3OZGX+jDyFm+lsIgg==" spinCount="100000" sheet="1" objects="1" scenarios="1" selectLockedCells="1"/>
  <protectedRanges>
    <protectedRange sqref="B8:I9 B11:I11 D14:I16 D19:I21 E22:I22 F25:I28 D29:I29 E30:I32" name="Range2"/>
  </protectedRanges>
  <customSheetViews>
    <customSheetView guid="{BC429C65-53B8-4F97-88D2-74ECCD734800}" showGridLines="0" showRowCol="0">
      <selection activeCell="B8" sqref="B8:E10"/>
      <pageMargins left="0.25" right="0.25" top="0.75" bottom="1" header="0" footer="0"/>
      <printOptions horizontalCentered="1"/>
      <pageSetup orientation="portrait" r:id="rId1"/>
      <headerFooter alignWithMargins="0">
        <oddHeader>&amp;RCP</oddHeader>
        <oddFooter>&amp;LADEM Form 318 07/2012</oddFooter>
      </headerFooter>
    </customSheetView>
  </customSheetViews>
  <mergeCells count="43">
    <mergeCell ref="F28:I28"/>
    <mergeCell ref="F8:I9"/>
    <mergeCell ref="B29:C29"/>
    <mergeCell ref="B8:E8"/>
    <mergeCell ref="B10:E10"/>
    <mergeCell ref="D19:I19"/>
    <mergeCell ref="D20:I20"/>
    <mergeCell ref="F10:I10"/>
    <mergeCell ref="B18:D18"/>
    <mergeCell ref="B13:D13"/>
    <mergeCell ref="B11:E11"/>
    <mergeCell ref="F11:I11"/>
    <mergeCell ref="D14:I14"/>
    <mergeCell ref="D15:I15"/>
    <mergeCell ref="D16:I16"/>
    <mergeCell ref="D21:I21"/>
    <mergeCell ref="B9:E9"/>
    <mergeCell ref="B2:I2"/>
    <mergeCell ref="B3:I3"/>
    <mergeCell ref="B4:I4"/>
    <mergeCell ref="B6:D6"/>
    <mergeCell ref="B7:E7"/>
    <mergeCell ref="F7:I7"/>
    <mergeCell ref="C39:D39"/>
    <mergeCell ref="F38:H38"/>
    <mergeCell ref="F39:H39"/>
    <mergeCell ref="I38:K38"/>
    <mergeCell ref="I39:K39"/>
    <mergeCell ref="B33:C33"/>
    <mergeCell ref="D33:I33"/>
    <mergeCell ref="C38:D38"/>
    <mergeCell ref="E30:I30"/>
    <mergeCell ref="D29:I29"/>
    <mergeCell ref="B32:D32"/>
    <mergeCell ref="B31:D31"/>
    <mergeCell ref="E31:I31"/>
    <mergeCell ref="B30:D30"/>
    <mergeCell ref="B37:K37"/>
    <mergeCell ref="B24:F24"/>
    <mergeCell ref="B26:E27"/>
    <mergeCell ref="F25:I25"/>
    <mergeCell ref="F26:I26"/>
    <mergeCell ref="F27:I27"/>
  </mergeCells>
  <phoneticPr fontId="4" type="noConversion"/>
  <conditionalFormatting sqref="D29 D14:D16 D19:D21">
    <cfRule type="expression" dxfId="30" priority="24">
      <formula>ISBLANK(D14:I14)</formula>
    </cfRule>
  </conditionalFormatting>
  <conditionalFormatting sqref="E30">
    <cfRule type="expression" dxfId="29" priority="23">
      <formula>ISBLANK(E30:I30)</formula>
    </cfRule>
  </conditionalFormatting>
  <conditionalFormatting sqref="E31">
    <cfRule type="expression" dxfId="28" priority="22">
      <formula>ISBLANK(E31:I31)</formula>
    </cfRule>
  </conditionalFormatting>
  <conditionalFormatting sqref="F8 F11 B11">
    <cfRule type="expression" dxfId="27" priority="37">
      <formula>ISBLANK(B8)</formula>
    </cfRule>
  </conditionalFormatting>
  <conditionalFormatting sqref="B8:E9">
    <cfRule type="expression" dxfId="26" priority="7">
      <formula>$A$10=0</formula>
    </cfRule>
  </conditionalFormatting>
  <conditionalFormatting sqref="F25:I28">
    <cfRule type="expression" dxfId="25" priority="1">
      <formula>$A$29=0</formula>
    </cfRule>
  </conditionalFormatting>
  <printOptions horizontalCentered="1"/>
  <pageMargins left="0.25" right="0.25" top="0.75" bottom="0.75" header="0" footer="0"/>
  <pageSetup fitToWidth="0" fitToHeight="0" orientation="portrait" r:id="rId2"/>
  <headerFooter alignWithMargins="0">
    <oddHeader>&amp;RCP</oddHeader>
    <oddFooter>&amp;LADEM Form 31 DRAFT &amp;C2/2025&amp;R*M9 DRAFT</oddFooter>
  </headerFooter>
  <ignoredErrors>
    <ignoredError sqref="E39:F39 C39"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5361" r:id="rId5" name="Button 1">
              <controlPr defaultSize="0" print="0" autoFill="0" autoPict="0" macro="[0]!deletecpform1">
                <anchor>
                  <from>
                    <xdr:col>0</xdr:col>
                    <xdr:colOff>152400</xdr:colOff>
                    <xdr:row>9</xdr:row>
                    <xdr:rowOff>22860</xdr:rowOff>
                  </from>
                  <to>
                    <xdr:col>0</xdr:col>
                    <xdr:colOff>807720</xdr:colOff>
                    <xdr:row>10</xdr:row>
                    <xdr:rowOff>480060</xdr:rowOff>
                  </to>
                </anchor>
              </controlPr>
            </control>
          </mc:Choice>
        </mc:AlternateContent>
        <mc:AlternateContent xmlns:mc="http://schemas.openxmlformats.org/markup-compatibility/2006">
          <mc:Choice Requires="x14">
            <control shapeId="15365" r:id="rId6" name="Button 5">
              <controlPr defaultSize="0" print="0" autoFill="0" autoPict="0" macro="[0]!sixteen">
                <anchor>
                  <from>
                    <xdr:col>0</xdr:col>
                    <xdr:colOff>121920</xdr:colOff>
                    <xdr:row>13</xdr:row>
                    <xdr:rowOff>251460</xdr:rowOff>
                  </from>
                  <to>
                    <xdr:col>0</xdr:col>
                    <xdr:colOff>838200</xdr:colOff>
                    <xdr:row>15</xdr:row>
                    <xdr:rowOff>114300</xdr:rowOff>
                  </to>
                </anchor>
              </controlPr>
            </control>
          </mc:Choice>
        </mc:AlternateContent>
        <mc:AlternateContent xmlns:mc="http://schemas.openxmlformats.org/markup-compatibility/2006">
          <mc:Choice Requires="x14">
            <control shapeId="15366" r:id="rId7" name="Button 6">
              <controlPr defaultSize="0" print="0" autoFill="0" autoPict="0" macro="[0]!eight">
                <anchor>
                  <from>
                    <xdr:col>0</xdr:col>
                    <xdr:colOff>137160</xdr:colOff>
                    <xdr:row>10</xdr:row>
                    <xdr:rowOff>594360</xdr:rowOff>
                  </from>
                  <to>
                    <xdr:col>0</xdr:col>
                    <xdr:colOff>830580</xdr:colOff>
                    <xdr:row>13</xdr:row>
                    <xdr:rowOff>137160</xdr:rowOff>
                  </to>
                </anchor>
              </controlPr>
            </control>
          </mc:Choice>
        </mc:AlternateContent>
        <mc:AlternateContent xmlns:mc="http://schemas.openxmlformats.org/markup-compatibility/2006">
          <mc:Choice Requires="x14">
            <control shapeId="15368" r:id="rId8" name="Button 8">
              <controlPr defaultSize="0" print="0" autoFill="0" autoPict="0" macro="[0]!eleven">
                <anchor moveWithCells="1">
                  <from>
                    <xdr:col>0</xdr:col>
                    <xdr:colOff>144780</xdr:colOff>
                    <xdr:row>16</xdr:row>
                    <xdr:rowOff>22860</xdr:rowOff>
                  </from>
                  <to>
                    <xdr:col>0</xdr:col>
                    <xdr:colOff>830580</xdr:colOff>
                    <xdr:row>18</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tint="-4.9989318521683403E-2"/>
    <pageSetUpPr fitToPage="1"/>
  </sheetPr>
  <dimension ref="A1:J64"/>
  <sheetViews>
    <sheetView showGridLines="0" showRowColHeaders="0" zoomScale="110" zoomScaleNormal="110" workbookViewId="0">
      <selection activeCell="B6" sqref="B6:I8"/>
    </sheetView>
  </sheetViews>
  <sheetFormatPr defaultColWidth="9.109375" defaultRowHeight="15" x14ac:dyDescent="0.25"/>
  <cols>
    <col min="1" max="1" width="13.6640625" style="218" customWidth="1"/>
    <col min="2" max="2" width="3.109375" style="213" customWidth="1"/>
    <col min="3" max="4" width="9.109375" style="213"/>
    <col min="5" max="5" width="12.6640625" style="213" customWidth="1"/>
    <col min="6" max="7" width="15.6640625" style="213" customWidth="1"/>
    <col min="8" max="8" width="9.88671875" style="213" bestFit="1" customWidth="1"/>
    <col min="9" max="9" width="28.6640625" style="213" customWidth="1"/>
    <col min="10" max="16384" width="9.109375" style="213"/>
  </cols>
  <sheetData>
    <row r="1" spans="2:9" ht="19.2" customHeight="1" x14ac:dyDescent="0.25"/>
    <row r="2" spans="2:9" ht="19.2" customHeight="1" x14ac:dyDescent="0.3">
      <c r="B2" s="1051" t="str">
        <f>IF(B3:D3="","",'CP Part I Info'!B7)</f>
        <v/>
      </c>
      <c r="C2" s="1050"/>
      <c r="D2" s="1021"/>
      <c r="E2" s="1049" t="str">
        <f>IF(E3="","",'CP Part I Info'!B14)</f>
        <v/>
      </c>
      <c r="F2" s="1022"/>
      <c r="G2" s="1022"/>
      <c r="H2" s="1022"/>
      <c r="I2" s="1022"/>
    </row>
    <row r="3" spans="2:9" ht="19.2" customHeight="1" x14ac:dyDescent="0.25">
      <c r="B3" s="1052" t="str">
        <f>IF('CP Part I Info'!B8="","",'CP Part I Info'!B8)</f>
        <v/>
      </c>
      <c r="C3" s="1053"/>
      <c r="D3" s="1052"/>
      <c r="E3" s="1024" t="str">
        <f>IF('CP Part I Info'!D14="","",'CP Part I Info'!D14)</f>
        <v/>
      </c>
      <c r="F3" s="1023"/>
      <c r="G3" s="1023"/>
      <c r="H3" s="1023"/>
      <c r="I3" s="1023"/>
    </row>
    <row r="4" spans="2:9" ht="16.2" customHeight="1" thickBot="1" x14ac:dyDescent="0.35">
      <c r="B4" s="1003" t="s">
        <v>0</v>
      </c>
      <c r="C4" s="1003"/>
      <c r="D4" s="1003"/>
      <c r="E4" s="214"/>
      <c r="F4" s="214"/>
      <c r="G4" s="214"/>
      <c r="H4" s="214"/>
      <c r="I4" s="214"/>
    </row>
    <row r="5" spans="2:9" ht="16.2" customHeight="1" thickBot="1" x14ac:dyDescent="0.3">
      <c r="B5" s="1832" t="s">
        <v>649</v>
      </c>
      <c r="C5" s="1833"/>
      <c r="D5" s="1833"/>
      <c r="E5" s="1833"/>
      <c r="F5" s="1833"/>
      <c r="G5" s="1833"/>
      <c r="H5" s="1833"/>
      <c r="I5" s="1892"/>
    </row>
    <row r="6" spans="2:9" ht="16.2" customHeight="1" thickBot="1" x14ac:dyDescent="0.3">
      <c r="B6" s="1004"/>
      <c r="C6" s="214"/>
      <c r="D6" s="214"/>
      <c r="E6" s="214"/>
      <c r="F6" s="214"/>
      <c r="G6" s="214"/>
      <c r="H6" s="214"/>
      <c r="I6" s="1005"/>
    </row>
    <row r="7" spans="2:9" ht="16.2" customHeight="1" thickBot="1" x14ac:dyDescent="0.3">
      <c r="B7" s="1020"/>
      <c r="C7" s="1006" t="s">
        <v>1182</v>
      </c>
      <c r="D7" s="215"/>
      <c r="E7" s="215"/>
      <c r="F7" s="215"/>
      <c r="G7" s="1007">
        <f>COUNTIF($B$7:$B$17,"x")</f>
        <v>0</v>
      </c>
      <c r="H7" s="1007">
        <f>IF(B7="x",1,0)</f>
        <v>0</v>
      </c>
      <c r="I7" s="216"/>
    </row>
    <row r="8" spans="2:9" ht="16.2" customHeight="1" thickBot="1" x14ac:dyDescent="0.3">
      <c r="B8" s="1020"/>
      <c r="C8" s="1006" t="s">
        <v>650</v>
      </c>
      <c r="D8" s="215"/>
      <c r="E8" s="215"/>
      <c r="F8" s="215"/>
      <c r="G8" s="215"/>
      <c r="H8" s="1007">
        <f t="shared" ref="H8:H20" si="0">IF(B8="x",1,0)</f>
        <v>0</v>
      </c>
      <c r="I8" s="216"/>
    </row>
    <row r="9" spans="2:9" ht="16.2" customHeight="1" thickBot="1" x14ac:dyDescent="0.3">
      <c r="B9" s="1020"/>
      <c r="C9" s="1006" t="s">
        <v>1183</v>
      </c>
      <c r="D9" s="215"/>
      <c r="E9" s="215"/>
      <c r="F9" s="215"/>
      <c r="G9" s="215"/>
      <c r="H9" s="1007">
        <f t="shared" si="0"/>
        <v>0</v>
      </c>
      <c r="I9" s="216"/>
    </row>
    <row r="10" spans="2:9" ht="16.2" customHeight="1" thickBot="1" x14ac:dyDescent="0.3">
      <c r="B10" s="1020"/>
      <c r="C10" s="1006" t="s">
        <v>1184</v>
      </c>
      <c r="D10" s="215"/>
      <c r="E10" s="214"/>
      <c r="F10" s="215"/>
      <c r="G10" s="214"/>
      <c r="H10" s="1007">
        <f t="shared" si="0"/>
        <v>0</v>
      </c>
      <c r="I10" s="216"/>
    </row>
    <row r="11" spans="2:9" ht="16.2" customHeight="1" thickBot="1" x14ac:dyDescent="0.3">
      <c r="B11" s="1020"/>
      <c r="C11" s="1006" t="s">
        <v>1185</v>
      </c>
      <c r="D11" s="215"/>
      <c r="E11" s="215"/>
      <c r="F11" s="215"/>
      <c r="G11" s="215"/>
      <c r="H11" s="1007">
        <f t="shared" si="0"/>
        <v>0</v>
      </c>
      <c r="I11" s="1008">
        <f>IF(B12="x",1,0)</f>
        <v>0</v>
      </c>
    </row>
    <row r="12" spans="2:9" ht="16.2" customHeight="1" thickBot="1" x14ac:dyDescent="0.3">
      <c r="B12" s="1020"/>
      <c r="C12" s="1006" t="s">
        <v>1186</v>
      </c>
      <c r="D12" s="215"/>
      <c r="E12" s="215"/>
      <c r="F12" s="215"/>
      <c r="G12" s="215"/>
      <c r="H12" s="215"/>
      <c r="I12" s="1008">
        <f>IF(B12="x",1,0)</f>
        <v>0</v>
      </c>
    </row>
    <row r="13" spans="2:9" ht="16.2" customHeight="1" thickBot="1" x14ac:dyDescent="0.3">
      <c r="B13" s="1020"/>
      <c r="C13" s="1006" t="s">
        <v>1282</v>
      </c>
      <c r="D13" s="215"/>
      <c r="E13" s="215"/>
      <c r="F13" s="215"/>
      <c r="G13" s="215"/>
      <c r="H13" s="1007">
        <f t="shared" si="0"/>
        <v>0</v>
      </c>
      <c r="I13" s="1008"/>
    </row>
    <row r="14" spans="2:9" ht="16.2" customHeight="1" thickBot="1" x14ac:dyDescent="0.3">
      <c r="B14" s="1020"/>
      <c r="C14" s="1026" t="s">
        <v>651</v>
      </c>
      <c r="D14" s="1002"/>
      <c r="E14" s="1002"/>
      <c r="F14" s="214"/>
      <c r="G14" s="1002"/>
      <c r="H14" s="1486">
        <f t="shared" si="0"/>
        <v>0</v>
      </c>
      <c r="I14" s="960"/>
    </row>
    <row r="15" spans="2:9" ht="16.2" customHeight="1" thickBot="1" x14ac:dyDescent="0.3">
      <c r="B15" s="1020"/>
      <c r="C15" s="1006" t="s">
        <v>652</v>
      </c>
      <c r="D15" s="215"/>
      <c r="E15" s="215"/>
      <c r="F15" s="215"/>
      <c r="G15" s="215"/>
      <c r="H15" s="1007">
        <f t="shared" si="0"/>
        <v>0</v>
      </c>
      <c r="I15" s="216"/>
    </row>
    <row r="16" spans="2:9" ht="16.2" customHeight="1" thickBot="1" x14ac:dyDescent="0.3">
      <c r="B16" s="1020"/>
      <c r="C16" s="1004" t="s">
        <v>668</v>
      </c>
      <c r="D16" s="215"/>
      <c r="E16" s="215"/>
      <c r="F16" s="215"/>
      <c r="G16" s="215"/>
      <c r="H16" s="1007">
        <f t="shared" si="0"/>
        <v>0</v>
      </c>
      <c r="I16" s="216"/>
    </row>
    <row r="17" spans="2:10" ht="16.2" customHeight="1" thickBot="1" x14ac:dyDescent="0.3">
      <c r="B17" s="1020"/>
      <c r="C17" s="1006" t="s">
        <v>653</v>
      </c>
      <c r="D17" s="215"/>
      <c r="E17" s="215"/>
      <c r="F17" s="215"/>
      <c r="G17" s="214"/>
      <c r="H17" s="1007">
        <f t="shared" si="0"/>
        <v>0</v>
      </c>
      <c r="I17" s="216"/>
    </row>
    <row r="18" spans="2:10" ht="16.2" customHeight="1" thickBot="1" x14ac:dyDescent="0.3">
      <c r="B18" s="1020"/>
      <c r="C18" s="215" t="s">
        <v>771</v>
      </c>
      <c r="D18" s="215"/>
      <c r="E18" s="215"/>
      <c r="F18" s="215"/>
      <c r="G18" s="215"/>
      <c r="H18" s="1007">
        <f t="shared" si="0"/>
        <v>0</v>
      </c>
      <c r="I18" s="216"/>
    </row>
    <row r="19" spans="2:10" ht="16.2" customHeight="1" thickBot="1" x14ac:dyDescent="0.3">
      <c r="B19" s="1020"/>
      <c r="C19" s="215" t="s">
        <v>1187</v>
      </c>
      <c r="D19" s="215"/>
      <c r="E19" s="215"/>
      <c r="F19" s="215"/>
      <c r="G19" s="214"/>
      <c r="H19" s="1007">
        <f t="shared" si="0"/>
        <v>0</v>
      </c>
      <c r="I19" s="1008"/>
    </row>
    <row r="20" spans="2:10" ht="16.2" customHeight="1" thickBot="1" x14ac:dyDescent="0.3">
      <c r="B20" s="1020"/>
      <c r="C20" s="215" t="s">
        <v>1188</v>
      </c>
      <c r="D20" s="215"/>
      <c r="E20" s="215"/>
      <c r="F20" s="215"/>
      <c r="G20" s="215"/>
      <c r="H20" s="1007">
        <f t="shared" si="0"/>
        <v>0</v>
      </c>
      <c r="I20" s="216"/>
    </row>
    <row r="21" spans="2:10" ht="16.2" customHeight="1" thickBot="1" x14ac:dyDescent="0.3">
      <c r="B21" s="1009" t="s">
        <v>1044</v>
      </c>
      <c r="C21" s="1010"/>
      <c r="D21" s="1010"/>
      <c r="E21" s="1010"/>
      <c r="F21" s="1010"/>
      <c r="G21" s="1010"/>
      <c r="H21" s="1007">
        <f>SUM(H7+H8+H9+H10+H11+I12+H13+H14+H15+H16+H17+H18+H19+H20)</f>
        <v>0</v>
      </c>
      <c r="I21" s="216"/>
    </row>
    <row r="22" spans="2:10" ht="16.95" customHeight="1" x14ac:dyDescent="0.25">
      <c r="B22" s="1888"/>
      <c r="C22" s="1877"/>
      <c r="D22" s="1877"/>
      <c r="E22" s="1877"/>
      <c r="F22" s="1877"/>
      <c r="G22" s="1877"/>
      <c r="H22" s="1877"/>
      <c r="I22" s="1878"/>
    </row>
    <row r="23" spans="2:10" ht="16.95" customHeight="1" x14ac:dyDescent="0.25">
      <c r="B23" s="1889"/>
      <c r="C23" s="1890"/>
      <c r="D23" s="1890"/>
      <c r="E23" s="1890"/>
      <c r="F23" s="1890"/>
      <c r="G23" s="1890"/>
      <c r="H23" s="1890"/>
      <c r="I23" s="1891"/>
    </row>
    <row r="24" spans="2:10" ht="16.95" customHeight="1" x14ac:dyDescent="0.25">
      <c r="B24" s="1889"/>
      <c r="C24" s="1890"/>
      <c r="D24" s="1890"/>
      <c r="E24" s="1890"/>
      <c r="F24" s="1890"/>
      <c r="G24" s="1890"/>
      <c r="H24" s="1890"/>
      <c r="I24" s="1891"/>
    </row>
    <row r="25" spans="2:10" ht="16.95" customHeight="1" x14ac:dyDescent="0.25">
      <c r="B25" s="1889"/>
      <c r="C25" s="1890"/>
      <c r="D25" s="1890"/>
      <c r="E25" s="1890"/>
      <c r="F25" s="1890"/>
      <c r="G25" s="1890"/>
      <c r="H25" s="1890"/>
      <c r="I25" s="1891"/>
    </row>
    <row r="26" spans="2:10" ht="16.95" customHeight="1" x14ac:dyDescent="0.25">
      <c r="B26" s="1889"/>
      <c r="C26" s="1890"/>
      <c r="D26" s="1890"/>
      <c r="E26" s="1890"/>
      <c r="F26" s="1890"/>
      <c r="G26" s="1890"/>
      <c r="H26" s="1890"/>
      <c r="I26" s="1891"/>
    </row>
    <row r="27" spans="2:10" ht="16.95" customHeight="1" x14ac:dyDescent="0.25">
      <c r="B27" s="1889"/>
      <c r="C27" s="1890"/>
      <c r="D27" s="1890"/>
      <c r="E27" s="1890"/>
      <c r="F27" s="1890"/>
      <c r="G27" s="1890"/>
      <c r="H27" s="1890"/>
      <c r="I27" s="1891"/>
    </row>
    <row r="28" spans="2:10" ht="16.95" customHeight="1" x14ac:dyDescent="0.25">
      <c r="B28" s="1889"/>
      <c r="C28" s="1890"/>
      <c r="D28" s="1890"/>
      <c r="E28" s="1890"/>
      <c r="F28" s="1890"/>
      <c r="G28" s="1890"/>
      <c r="H28" s="1890"/>
      <c r="I28" s="1891"/>
    </row>
    <row r="29" spans="2:10" ht="16.95" customHeight="1" thickBot="1" x14ac:dyDescent="0.3">
      <c r="B29" s="1879"/>
      <c r="C29" s="1880"/>
      <c r="D29" s="1880"/>
      <c r="E29" s="1880"/>
      <c r="F29" s="1880"/>
      <c r="G29" s="1880"/>
      <c r="H29" s="1880"/>
      <c r="I29" s="1881"/>
    </row>
    <row r="30" spans="2:10" ht="16.2" customHeight="1" thickBot="1" x14ac:dyDescent="0.3">
      <c r="B30" s="1485" t="s">
        <v>654</v>
      </c>
      <c r="C30" s="1011"/>
      <c r="D30" s="1011"/>
      <c r="E30" s="1011"/>
      <c r="F30" s="1011"/>
      <c r="G30" s="1011"/>
      <c r="H30" s="1011"/>
      <c r="I30" s="1012"/>
    </row>
    <row r="31" spans="2:10" ht="16.2" customHeight="1" x14ac:dyDescent="0.25">
      <c r="B31" s="1882"/>
      <c r="C31" s="1883"/>
      <c r="D31" s="1883"/>
      <c r="E31" s="1883"/>
      <c r="F31" s="1883"/>
      <c r="G31" s="1883"/>
      <c r="H31" s="1883"/>
      <c r="I31" s="1884"/>
      <c r="J31" s="1013"/>
    </row>
    <row r="32" spans="2:10" ht="16.2" customHeight="1" thickBot="1" x14ac:dyDescent="0.3">
      <c r="B32" s="1885"/>
      <c r="C32" s="1886"/>
      <c r="D32" s="1886"/>
      <c r="E32" s="1886"/>
      <c r="F32" s="1886"/>
      <c r="G32" s="1886"/>
      <c r="H32" s="1886"/>
      <c r="I32" s="1887"/>
    </row>
    <row r="33" spans="2:9" ht="16.2" customHeight="1" thickBot="1" x14ac:dyDescent="0.3">
      <c r="B33" s="1485" t="s">
        <v>747</v>
      </c>
      <c r="C33" s="215"/>
      <c r="D33" s="215"/>
      <c r="E33" s="215"/>
      <c r="F33" s="215"/>
      <c r="G33" s="215"/>
      <c r="H33" s="215"/>
      <c r="I33" s="216"/>
    </row>
    <row r="34" spans="2:9" ht="16.2" customHeight="1" x14ac:dyDescent="0.25">
      <c r="B34" s="1876"/>
      <c r="C34" s="1877"/>
      <c r="D34" s="1877"/>
      <c r="E34" s="1877"/>
      <c r="F34" s="1877"/>
      <c r="G34" s="1877"/>
      <c r="H34" s="1877"/>
      <c r="I34" s="1878"/>
    </row>
    <row r="35" spans="2:9" ht="16.2" customHeight="1" thickBot="1" x14ac:dyDescent="0.3">
      <c r="B35" s="1879"/>
      <c r="C35" s="1880"/>
      <c r="D35" s="1880"/>
      <c r="E35" s="1880"/>
      <c r="F35" s="1880"/>
      <c r="G35" s="1880"/>
      <c r="H35" s="1880"/>
      <c r="I35" s="1881"/>
    </row>
    <row r="36" spans="2:9" ht="22.95" customHeight="1" thickBot="1" x14ac:dyDescent="0.3">
      <c r="B36" s="1014" t="s">
        <v>655</v>
      </c>
      <c r="C36" s="1015"/>
      <c r="D36" s="1015"/>
      <c r="E36" s="1015"/>
      <c r="F36" s="1015"/>
      <c r="G36" s="1015"/>
      <c r="H36" s="1015"/>
      <c r="I36" s="1015"/>
    </row>
    <row r="37" spans="2:9" ht="16.2" customHeight="1" x14ac:dyDescent="0.25">
      <c r="B37" s="1016" t="s">
        <v>656</v>
      </c>
      <c r="C37" s="1017"/>
      <c r="D37" s="1017"/>
      <c r="E37" s="1017"/>
      <c r="F37" s="1017"/>
      <c r="G37" s="1017"/>
      <c r="H37" s="1017"/>
      <c r="I37" s="1018"/>
    </row>
    <row r="38" spans="2:9" ht="16.2" customHeight="1" thickBot="1" x14ac:dyDescent="0.35">
      <c r="B38" s="1893" t="s">
        <v>773</v>
      </c>
      <c r="C38" s="1894"/>
      <c r="D38" s="1894"/>
      <c r="E38" s="1894"/>
      <c r="F38" s="1894"/>
      <c r="G38" s="1894" t="s">
        <v>658</v>
      </c>
      <c r="H38" s="1894"/>
      <c r="I38" s="1895"/>
    </row>
    <row r="39" spans="2:9" ht="22.95" customHeight="1" thickBot="1" x14ac:dyDescent="0.3">
      <c r="B39" s="1896"/>
      <c r="C39" s="1835"/>
      <c r="D39" s="1835"/>
      <c r="E39" s="1835"/>
      <c r="F39" s="1836"/>
      <c r="G39" s="1896"/>
      <c r="H39" s="1835"/>
      <c r="I39" s="1836"/>
    </row>
    <row r="40" spans="2:9" ht="22.95" customHeight="1" thickBot="1" x14ac:dyDescent="0.3">
      <c r="B40" s="1896"/>
      <c r="C40" s="1835"/>
      <c r="D40" s="1835"/>
      <c r="E40" s="1835"/>
      <c r="F40" s="1836"/>
      <c r="G40" s="1896"/>
      <c r="H40" s="1835"/>
      <c r="I40" s="1836"/>
    </row>
    <row r="41" spans="2:9" ht="22.95" customHeight="1" thickBot="1" x14ac:dyDescent="0.3">
      <c r="B41" s="1896"/>
      <c r="C41" s="1835"/>
      <c r="D41" s="1835"/>
      <c r="E41" s="1835"/>
      <c r="F41" s="1836"/>
      <c r="G41" s="1896"/>
      <c r="H41" s="1835"/>
      <c r="I41" s="1836"/>
    </row>
    <row r="42" spans="2:9" ht="22.95" customHeight="1" thickBot="1" x14ac:dyDescent="0.3">
      <c r="B42" s="1896"/>
      <c r="C42" s="1835"/>
      <c r="D42" s="1835"/>
      <c r="E42" s="1835"/>
      <c r="F42" s="1836"/>
      <c r="G42" s="1896"/>
      <c r="H42" s="1835"/>
      <c r="I42" s="1836"/>
    </row>
    <row r="43" spans="2:9" ht="22.95" customHeight="1" thickBot="1" x14ac:dyDescent="0.3">
      <c r="B43" s="1896"/>
      <c r="C43" s="1835"/>
      <c r="D43" s="1835"/>
      <c r="E43" s="1835"/>
      <c r="F43" s="1836"/>
      <c r="G43" s="1896"/>
      <c r="H43" s="1835"/>
      <c r="I43" s="1836"/>
    </row>
    <row r="44" spans="2:9" ht="22.95" customHeight="1" thickBot="1" x14ac:dyDescent="0.3">
      <c r="B44" s="1896"/>
      <c r="C44" s="1835"/>
      <c r="D44" s="1835"/>
      <c r="E44" s="1835"/>
      <c r="F44" s="1836"/>
      <c r="G44" s="1896"/>
      <c r="H44" s="1835"/>
      <c r="I44" s="1836"/>
    </row>
    <row r="45" spans="2:9" ht="22.95" customHeight="1" thickBot="1" x14ac:dyDescent="0.3">
      <c r="B45" s="1896"/>
      <c r="C45" s="1835"/>
      <c r="D45" s="1835"/>
      <c r="E45" s="1835"/>
      <c r="F45" s="1836"/>
      <c r="G45" s="1896"/>
      <c r="H45" s="1835"/>
      <c r="I45" s="1836"/>
    </row>
    <row r="46" spans="2:9" ht="12.75" customHeight="1" x14ac:dyDescent="0.25"/>
    <row r="47" spans="2:9" ht="13.5" customHeight="1" x14ac:dyDescent="0.25"/>
    <row r="48" spans="2:9" ht="12.75" customHeight="1" x14ac:dyDescent="0.25"/>
    <row r="49" spans="2:2" ht="13.5" customHeight="1" x14ac:dyDescent="0.25"/>
    <row r="51" spans="2:2" ht="15.6" x14ac:dyDescent="0.3">
      <c r="B51" s="1019"/>
    </row>
    <row r="53" spans="2:2" ht="12.75" customHeight="1" x14ac:dyDescent="0.25"/>
    <row r="54" spans="2:2" ht="13.5" customHeight="1" x14ac:dyDescent="0.25"/>
    <row r="55" spans="2:2" ht="15" customHeight="1" x14ac:dyDescent="0.25"/>
    <row r="56" spans="2:2" ht="13.5" customHeight="1" x14ac:dyDescent="0.25"/>
    <row r="57" spans="2:2" ht="15.75" customHeight="1" x14ac:dyDescent="0.25"/>
    <row r="58" spans="2:2" ht="13.5" customHeight="1" x14ac:dyDescent="0.25"/>
    <row r="59" spans="2:2" ht="12.75" customHeight="1" x14ac:dyDescent="0.25"/>
    <row r="60" spans="2:2" ht="13.5" customHeight="1" x14ac:dyDescent="0.25"/>
    <row r="61" spans="2:2" ht="15" customHeight="1" x14ac:dyDescent="0.25"/>
    <row r="62" spans="2:2" ht="15.75" customHeight="1" x14ac:dyDescent="0.25"/>
    <row r="63" spans="2:2" ht="15" customHeight="1" x14ac:dyDescent="0.25"/>
    <row r="64" spans="2:2" ht="13.5" customHeight="1" x14ac:dyDescent="0.25"/>
  </sheetData>
  <sheetProtection algorithmName="SHA-512" hashValue="/o4tCuPz64wU1Gf0GLVI+x5ccBmCvc9a2KpoYWw8L4BV2AljjlzqEhJcQ0xcoX1g5D9PjBE/nT91/AxYNY872g==" saltValue="47or30CjHxYqSJ6/37hA+A==" spinCount="100000" sheet="1" objects="1" scenarios="1" selectLockedCells="1"/>
  <protectedRanges>
    <protectedRange sqref="B7:B20 B22:I29 B31:I32 B34:I35 B39:I45" name="Range3"/>
  </protectedRanges>
  <customSheetViews>
    <customSheetView guid="{BC429C65-53B8-4F97-88D2-74ECCD734800}" showGridLines="0" showRowCol="0" fitToPage="1">
      <selection activeCell="B5" sqref="B5"/>
      <pageMargins left="0.25" right="0.25" top="0.75" bottom="1" header="0" footer="0"/>
      <printOptions horizontalCentered="1"/>
      <pageSetup scale="98" orientation="portrait" r:id="rId1"/>
      <headerFooter alignWithMargins="0">
        <oddHeader>&amp;RCP</oddHeader>
        <oddFooter>&amp;LADEM Form 318 07/2012</oddFooter>
      </headerFooter>
    </customSheetView>
  </customSheetViews>
  <mergeCells count="20">
    <mergeCell ref="G40:I40"/>
    <mergeCell ref="G39:I39"/>
    <mergeCell ref="B45:F45"/>
    <mergeCell ref="B44:F44"/>
    <mergeCell ref="B43:F43"/>
    <mergeCell ref="B42:F42"/>
    <mergeCell ref="B41:F41"/>
    <mergeCell ref="B40:F40"/>
    <mergeCell ref="B39:F39"/>
    <mergeCell ref="G45:I45"/>
    <mergeCell ref="G44:I44"/>
    <mergeCell ref="G43:I43"/>
    <mergeCell ref="G42:I42"/>
    <mergeCell ref="G41:I41"/>
    <mergeCell ref="B34:I35"/>
    <mergeCell ref="B31:I32"/>
    <mergeCell ref="B22:I29"/>
    <mergeCell ref="B5:I5"/>
    <mergeCell ref="B38:F38"/>
    <mergeCell ref="G38:I38"/>
  </mergeCells>
  <phoneticPr fontId="4" type="noConversion"/>
  <conditionalFormatting sqref="B31">
    <cfRule type="expression" dxfId="24" priority="14">
      <formula>ISBLANK(B31:I32)</formula>
    </cfRule>
  </conditionalFormatting>
  <conditionalFormatting sqref="B34:I35">
    <cfRule type="expression" dxfId="23" priority="13">
      <formula>ISBLANK(B34:I35)</formula>
    </cfRule>
  </conditionalFormatting>
  <conditionalFormatting sqref="B39:B45 G39:G45">
    <cfRule type="expression" dxfId="22" priority="12">
      <formula>ISBLANK($B$39:$I$45)</formula>
    </cfRule>
  </conditionalFormatting>
  <conditionalFormatting sqref="B7:B20">
    <cfRule type="expression" dxfId="21" priority="2">
      <formula>$H$21=0</formula>
    </cfRule>
  </conditionalFormatting>
  <conditionalFormatting sqref="B22">
    <cfRule type="expression" dxfId="20" priority="20">
      <formula>ISBLANK(B22:I29)</formula>
    </cfRule>
  </conditionalFormatting>
  <dataValidations count="1">
    <dataValidation type="list" allowBlank="1" showInputMessage="1" showErrorMessage="1" sqref="B7:B20" xr:uid="{00000000-0002-0000-0300-000000000000}">
      <formula1>"X"</formula1>
    </dataValidation>
  </dataValidations>
  <printOptions horizontalCentered="1"/>
  <pageMargins left="0.25" right="0.25" top="0.75" bottom="0.5" header="0" footer="0"/>
  <pageSetup scale="93" orientation="portrait" r:id="rId2"/>
  <headerFooter alignWithMargins="0">
    <oddHeader>&amp;RCP</oddHeader>
    <oddFooter>&amp;LADEM Form 31 DRAFT&amp;C 2/2025&amp;R*M9 DRAFT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6385" r:id="rId5" name="Button 1">
              <controlPr defaultSize="0" print="0" autoFill="0" autoPict="0" macro="[0]!deletecpform2inputs">
                <anchor>
                  <from>
                    <xdr:col>0</xdr:col>
                    <xdr:colOff>121920</xdr:colOff>
                    <xdr:row>13</xdr:row>
                    <xdr:rowOff>0</xdr:rowOff>
                  </from>
                  <to>
                    <xdr:col>0</xdr:col>
                    <xdr:colOff>762000</xdr:colOff>
                    <xdr:row>16</xdr:row>
                    <xdr:rowOff>114300</xdr:rowOff>
                  </to>
                </anchor>
              </controlPr>
            </control>
          </mc:Choice>
        </mc:AlternateContent>
        <mc:AlternateContent xmlns:mc="http://schemas.openxmlformats.org/markup-compatibility/2006">
          <mc:Choice Requires="x14">
            <control shapeId="16387" r:id="rId6" name="Button 3">
              <controlPr defaultSize="0" print="0" autoFill="0" autoPict="0" macro="[0]!eleven">
                <anchor moveWithCells="1">
                  <from>
                    <xdr:col>0</xdr:col>
                    <xdr:colOff>114300</xdr:colOff>
                    <xdr:row>17</xdr:row>
                    <xdr:rowOff>121920</xdr:rowOff>
                  </from>
                  <to>
                    <xdr:col>0</xdr:col>
                    <xdr:colOff>754380</xdr:colOff>
                    <xdr:row>20</xdr:row>
                    <xdr:rowOff>99060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0" tint="-4.9989318521683403E-2"/>
    <pageSetUpPr fitToPage="1"/>
  </sheetPr>
  <dimension ref="A1:M47"/>
  <sheetViews>
    <sheetView showGridLines="0" showRowColHeaders="0" zoomScale="110" zoomScaleNormal="110" workbookViewId="0">
      <selection activeCell="B6" sqref="B6:I8"/>
    </sheetView>
  </sheetViews>
  <sheetFormatPr defaultColWidth="8.88671875" defaultRowHeight="15" x14ac:dyDescent="0.25"/>
  <cols>
    <col min="1" max="1" width="13.6640625" style="218" customWidth="1"/>
    <col min="2" max="2" width="15.6640625" style="213" customWidth="1"/>
    <col min="3" max="3" width="14.109375" style="213" customWidth="1"/>
    <col min="4" max="4" width="13.109375" style="213" customWidth="1"/>
    <col min="5" max="5" width="11.109375" style="213" customWidth="1"/>
    <col min="6" max="6" width="12.44140625" style="213" customWidth="1"/>
    <col min="7" max="7" width="9.109375" style="213"/>
    <col min="8" max="8" width="11.44140625" style="213" customWidth="1"/>
    <col min="9" max="9" width="18.6640625" style="213" customWidth="1"/>
    <col min="10" max="10" width="1.6640625" style="213" customWidth="1"/>
    <col min="11" max="16384" width="8.88671875" style="213"/>
  </cols>
  <sheetData>
    <row r="1" spans="2:13" ht="19.2" customHeight="1" x14ac:dyDescent="0.25">
      <c r="E1" s="1661"/>
      <c r="F1" s="1661"/>
      <c r="G1" s="1661"/>
      <c r="H1" s="1661"/>
      <c r="I1" s="1661"/>
    </row>
    <row r="2" spans="2:13" ht="19.2" customHeight="1" x14ac:dyDescent="0.25">
      <c r="B2" s="1049" t="str">
        <f>IF(B3="","",'CP Part I Info'!B7:E7)</f>
        <v/>
      </c>
      <c r="C2" s="1049"/>
      <c r="D2" s="1049" t="str">
        <f>IF(D3="","",'CP Part I Info'!B14)</f>
        <v/>
      </c>
      <c r="E2" s="1662"/>
      <c r="F2" s="1662"/>
      <c r="G2" s="1662"/>
      <c r="H2" s="1662"/>
      <c r="I2" s="1662"/>
    </row>
    <row r="3" spans="2:13" ht="23.25" customHeight="1" thickBot="1" x14ac:dyDescent="0.3">
      <c r="B3" s="1052" t="str">
        <f>IF('CP Part I Info'!B8="","",'CP Part I Info'!B8)</f>
        <v/>
      </c>
      <c r="C3" s="1052"/>
      <c r="D3" s="1024" t="str">
        <f>IF('CP Part I Info'!D14="","",'CP Part I Info'!D14)</f>
        <v/>
      </c>
      <c r="E3" s="1024"/>
      <c r="F3" s="1024"/>
      <c r="G3" s="1024"/>
      <c r="H3" s="1024"/>
      <c r="I3" s="1024"/>
    </row>
    <row r="4" spans="2:13" ht="18" customHeight="1" thickBot="1" x14ac:dyDescent="0.3">
      <c r="B4" s="1663" t="s">
        <v>1398</v>
      </c>
      <c r="C4" s="29"/>
      <c r="D4" s="29"/>
      <c r="E4" s="29"/>
      <c r="F4" s="29"/>
      <c r="G4" s="29"/>
      <c r="H4" s="29"/>
      <c r="I4" s="40"/>
      <c r="J4" s="102"/>
      <c r="K4" s="102"/>
      <c r="L4" s="102"/>
      <c r="M4" s="102"/>
    </row>
    <row r="5" spans="2:13" ht="18" customHeight="1" thickBot="1" x14ac:dyDescent="0.3">
      <c r="B5" s="1901" t="s">
        <v>1399</v>
      </c>
      <c r="C5" s="1902"/>
      <c r="D5" s="1902"/>
      <c r="E5" s="1902"/>
      <c r="F5" s="1902"/>
      <c r="G5" s="1902"/>
      <c r="H5" s="1902"/>
      <c r="I5" s="1902"/>
    </row>
    <row r="6" spans="2:13" ht="18" customHeight="1" x14ac:dyDescent="0.25">
      <c r="B6" s="1903" t="s">
        <v>1395</v>
      </c>
      <c r="C6" s="1904"/>
      <c r="D6" s="1904"/>
      <c r="E6" s="1904"/>
      <c r="F6" s="1904"/>
      <c r="G6" s="1904"/>
      <c r="H6" s="1904"/>
      <c r="I6" s="1905"/>
    </row>
    <row r="7" spans="2:13" ht="18" customHeight="1" x14ac:dyDescent="0.25">
      <c r="B7" s="1906"/>
      <c r="C7" s="1907"/>
      <c r="D7" s="1907"/>
      <c r="E7" s="1907"/>
      <c r="F7" s="1907"/>
      <c r="G7" s="1907"/>
      <c r="H7" s="1907"/>
      <c r="I7" s="1908"/>
    </row>
    <row r="8" spans="2:13" ht="38.25" customHeight="1" thickBot="1" x14ac:dyDescent="0.3">
      <c r="B8" s="1909"/>
      <c r="C8" s="1910"/>
      <c r="D8" s="1910"/>
      <c r="E8" s="1910"/>
      <c r="F8" s="1910"/>
      <c r="G8" s="1910"/>
      <c r="H8" s="1910"/>
      <c r="I8" s="1911"/>
    </row>
    <row r="9" spans="2:13" ht="18" customHeight="1" x14ac:dyDescent="0.25">
      <c r="B9" s="1810" t="s">
        <v>1394</v>
      </c>
      <c r="C9" s="1811"/>
      <c r="D9" s="1812"/>
      <c r="E9" s="1912"/>
      <c r="F9" s="1913"/>
      <c r="G9" s="1913"/>
      <c r="H9" s="1913"/>
      <c r="I9" s="1914"/>
    </row>
    <row r="10" spans="2:13" ht="18" customHeight="1" thickBot="1" x14ac:dyDescent="0.3">
      <c r="B10" s="1918"/>
      <c r="C10" s="1919"/>
      <c r="D10" s="1920"/>
      <c r="E10" s="1915"/>
      <c r="F10" s="1916"/>
      <c r="G10" s="1916"/>
      <c r="H10" s="1916"/>
      <c r="I10" s="1917"/>
    </row>
    <row r="11" spans="2:13" ht="18" customHeight="1" x14ac:dyDescent="0.25">
      <c r="B11" s="1810" t="s">
        <v>659</v>
      </c>
      <c r="C11" s="1811"/>
      <c r="D11" s="1812"/>
      <c r="E11" s="1921"/>
      <c r="F11" s="1922"/>
      <c r="G11" s="1922"/>
      <c r="H11" s="1922"/>
      <c r="I11" s="1923"/>
    </row>
    <row r="12" spans="2:13" ht="18" customHeight="1" thickBot="1" x14ac:dyDescent="0.3">
      <c r="B12" s="1918"/>
      <c r="C12" s="1919"/>
      <c r="D12" s="1920"/>
      <c r="E12" s="1924"/>
      <c r="F12" s="1824"/>
      <c r="G12" s="1824"/>
      <c r="H12" s="1824"/>
      <c r="I12" s="1825"/>
    </row>
    <row r="13" spans="2:13" ht="36" customHeight="1" thickBot="1" x14ac:dyDescent="0.3">
      <c r="B13" s="1664" t="s">
        <v>1257</v>
      </c>
      <c r="C13" s="1665"/>
      <c r="D13" s="1666"/>
      <c r="E13" s="1898"/>
      <c r="F13" s="1899"/>
      <c r="G13" s="1899"/>
      <c r="H13" s="1899"/>
      <c r="I13" s="1900"/>
    </row>
    <row r="14" spans="2:13" ht="36" customHeight="1" thickBot="1" x14ac:dyDescent="0.3">
      <c r="B14" s="1659" t="s">
        <v>660</v>
      </c>
      <c r="C14" s="1660"/>
      <c r="D14" s="1667"/>
      <c r="E14" s="1897"/>
      <c r="F14" s="1824"/>
      <c r="G14" s="1824"/>
      <c r="H14" s="1824"/>
      <c r="I14" s="1825"/>
    </row>
    <row r="15" spans="2:13" ht="18" customHeight="1" x14ac:dyDescent="0.25">
      <c r="B15" s="1810" t="s">
        <v>1391</v>
      </c>
      <c r="C15" s="1811"/>
      <c r="D15" s="1812"/>
      <c r="E15" s="1668"/>
      <c r="F15" s="1913"/>
      <c r="G15" s="1913"/>
      <c r="H15" s="1913"/>
      <c r="I15" s="1914"/>
    </row>
    <row r="16" spans="2:13" ht="18" customHeight="1" thickBot="1" x14ac:dyDescent="0.3">
      <c r="B16" s="1918"/>
      <c r="C16" s="1919"/>
      <c r="D16" s="1920"/>
      <c r="E16" s="1669"/>
      <c r="F16" s="1916"/>
      <c r="G16" s="1916"/>
      <c r="H16" s="1916"/>
      <c r="I16" s="1917"/>
    </row>
    <row r="17" spans="1:9" ht="18" customHeight="1" x14ac:dyDescent="0.25">
      <c r="B17" s="1810" t="s">
        <v>659</v>
      </c>
      <c r="C17" s="1811"/>
      <c r="D17" s="1812"/>
      <c r="E17" s="1941"/>
      <c r="F17" s="1942"/>
      <c r="G17" s="1942"/>
      <c r="H17" s="1942"/>
      <c r="I17" s="1943"/>
    </row>
    <row r="18" spans="1:9" ht="18" customHeight="1" thickBot="1" x14ac:dyDescent="0.3">
      <c r="B18" s="1918"/>
      <c r="C18" s="1919"/>
      <c r="D18" s="1920"/>
      <c r="E18" s="1944"/>
      <c r="F18" s="1945"/>
      <c r="G18" s="1945"/>
      <c r="H18" s="1945"/>
      <c r="I18" s="1946"/>
    </row>
    <row r="19" spans="1:9" ht="18" customHeight="1" x14ac:dyDescent="0.25">
      <c r="B19" s="1935" t="s">
        <v>660</v>
      </c>
      <c r="C19" s="1936"/>
      <c r="D19" s="1937"/>
      <c r="E19" s="1947"/>
      <c r="F19" s="1922"/>
      <c r="G19" s="1922"/>
      <c r="H19" s="1922"/>
      <c r="I19" s="1923"/>
    </row>
    <row r="20" spans="1:9" ht="18" customHeight="1" thickBot="1" x14ac:dyDescent="0.3">
      <c r="B20" s="1938"/>
      <c r="C20" s="1939"/>
      <c r="D20" s="1940"/>
      <c r="E20" s="1924"/>
      <c r="F20" s="1824"/>
      <c r="G20" s="1824"/>
      <c r="H20" s="1824"/>
      <c r="I20" s="1825"/>
    </row>
    <row r="21" spans="1:9" ht="2.1" customHeight="1" x14ac:dyDescent="0.25">
      <c r="B21" s="1025"/>
      <c r="C21" s="214"/>
      <c r="D21" s="214"/>
      <c r="E21" s="214"/>
      <c r="F21" s="214"/>
      <c r="G21" s="214"/>
      <c r="H21" s="214"/>
      <c r="I21" s="214"/>
    </row>
    <row r="22" spans="1:9" ht="18" customHeight="1" thickBot="1" x14ac:dyDescent="0.3">
      <c r="B22" s="1934" t="s">
        <v>1396</v>
      </c>
      <c r="C22" s="1934"/>
      <c r="D22" s="1934"/>
      <c r="E22" s="1934"/>
      <c r="F22" s="214"/>
      <c r="G22" s="214"/>
      <c r="H22" s="214"/>
      <c r="I22" s="214"/>
    </row>
    <row r="23" spans="1:9" ht="18" customHeight="1" x14ac:dyDescent="0.25">
      <c r="A23" s="1670"/>
      <c r="B23" s="1852" t="s">
        <v>661</v>
      </c>
      <c r="C23" s="1853"/>
      <c r="D23" s="1853"/>
      <c r="E23" s="217"/>
      <c r="F23" s="1925"/>
      <c r="G23" s="1926"/>
      <c r="H23" s="1926"/>
      <c r="I23" s="1927"/>
    </row>
    <row r="24" spans="1:9" ht="18" customHeight="1" x14ac:dyDescent="0.25">
      <c r="A24" s="1670"/>
      <c r="B24" s="1979" t="s">
        <v>662</v>
      </c>
      <c r="C24" s="1980"/>
      <c r="D24" s="1980"/>
      <c r="E24" s="1005"/>
      <c r="F24" s="1928"/>
      <c r="G24" s="1929"/>
      <c r="H24" s="1929"/>
      <c r="I24" s="1930"/>
    </row>
    <row r="25" spans="1:9" ht="18" customHeight="1" thickBot="1" x14ac:dyDescent="0.3">
      <c r="A25" s="1670"/>
      <c r="B25" s="1867" t="s">
        <v>663</v>
      </c>
      <c r="C25" s="1868"/>
      <c r="D25" s="1868"/>
      <c r="E25" s="960"/>
      <c r="F25" s="1931"/>
      <c r="G25" s="1932"/>
      <c r="H25" s="1932"/>
      <c r="I25" s="1933"/>
    </row>
    <row r="26" spans="1:9" ht="18" customHeight="1" x14ac:dyDescent="0.25">
      <c r="A26" s="1670"/>
      <c r="B26" s="1025" t="s">
        <v>1191</v>
      </c>
      <c r="C26" s="1001"/>
      <c r="D26" s="1001"/>
      <c r="E26" s="217"/>
      <c r="F26" s="1925"/>
      <c r="G26" s="1926"/>
      <c r="H26" s="1926"/>
      <c r="I26" s="1927"/>
    </row>
    <row r="27" spans="1:9" ht="18" customHeight="1" x14ac:dyDescent="0.25">
      <c r="A27" s="1670"/>
      <c r="B27" s="1004" t="s">
        <v>1192</v>
      </c>
      <c r="C27" s="214"/>
      <c r="D27" s="214"/>
      <c r="E27" s="1005"/>
      <c r="F27" s="1928"/>
      <c r="G27" s="1929"/>
      <c r="H27" s="1929"/>
      <c r="I27" s="1930"/>
    </row>
    <row r="28" spans="1:9" ht="18" customHeight="1" thickBot="1" x14ac:dyDescent="0.3">
      <c r="A28" s="1670"/>
      <c r="B28" s="1026"/>
      <c r="C28" s="1002"/>
      <c r="D28" s="1002"/>
      <c r="E28" s="960"/>
      <c r="F28" s="1931"/>
      <c r="G28" s="1932"/>
      <c r="H28" s="1932"/>
      <c r="I28" s="1933"/>
    </row>
    <row r="29" spans="1:9" ht="18" customHeight="1" x14ac:dyDescent="0.25">
      <c r="A29" s="1670"/>
      <c r="B29" s="1025" t="s">
        <v>1193</v>
      </c>
      <c r="C29" s="1001"/>
      <c r="D29" s="1001"/>
      <c r="E29" s="217"/>
      <c r="F29" s="1952">
        <f>F26+E44</f>
        <v>0</v>
      </c>
      <c r="G29" s="1953"/>
      <c r="H29" s="1953"/>
      <c r="I29" s="1954"/>
    </row>
    <row r="30" spans="1:9" ht="18" customHeight="1" x14ac:dyDescent="0.25">
      <c r="A30" s="1670"/>
      <c r="B30" s="1004" t="s">
        <v>1194</v>
      </c>
      <c r="C30" s="214"/>
      <c r="D30" s="214"/>
      <c r="E30" s="1005"/>
      <c r="F30" s="1955"/>
      <c r="G30" s="1956"/>
      <c r="H30" s="1956"/>
      <c r="I30" s="1957"/>
    </row>
    <row r="31" spans="1:9" ht="18" customHeight="1" thickBot="1" x14ac:dyDescent="0.3">
      <c r="A31" s="1670"/>
      <c r="B31" s="1026" t="s">
        <v>1195</v>
      </c>
      <c r="C31" s="1002"/>
      <c r="D31" s="1002"/>
      <c r="E31" s="960"/>
      <c r="F31" s="1958"/>
      <c r="G31" s="1959"/>
      <c r="H31" s="1959"/>
      <c r="I31" s="1960"/>
    </row>
    <row r="32" spans="1:9" ht="18" customHeight="1" x14ac:dyDescent="0.25">
      <c r="A32" s="1670"/>
      <c r="B32" s="1935" t="s">
        <v>20</v>
      </c>
      <c r="C32" s="1936"/>
      <c r="D32" s="1936"/>
      <c r="E32" s="1936"/>
      <c r="F32" s="1937"/>
      <c r="G32" s="1961">
        <f>IF(F23&lt;1,,(F29/F23))</f>
        <v>0</v>
      </c>
      <c r="H32" s="1962"/>
      <c r="I32" s="1963"/>
    </row>
    <row r="33" spans="1:10" ht="18" customHeight="1" thickBot="1" x14ac:dyDescent="0.3">
      <c r="A33" s="1670"/>
      <c r="B33" s="1938"/>
      <c r="C33" s="1939"/>
      <c r="D33" s="1939"/>
      <c r="E33" s="1939"/>
      <c r="F33" s="1940"/>
      <c r="G33" s="1964"/>
      <c r="H33" s="1965"/>
      <c r="I33" s="1966"/>
    </row>
    <row r="34" spans="1:10" ht="2.1" customHeight="1" x14ac:dyDescent="0.25">
      <c r="A34" s="1670"/>
      <c r="B34" s="214"/>
      <c r="C34" s="214"/>
      <c r="D34" s="214"/>
      <c r="E34" s="214"/>
      <c r="F34" s="214"/>
      <c r="G34" s="214"/>
      <c r="H34" s="214"/>
      <c r="I34" s="214"/>
    </row>
    <row r="35" spans="1:10" ht="18" customHeight="1" thickBot="1" x14ac:dyDescent="0.3">
      <c r="B35" s="1631" t="s">
        <v>1397</v>
      </c>
      <c r="C35" s="214"/>
      <c r="D35" s="214"/>
      <c r="E35" s="214"/>
      <c r="F35" s="1027"/>
      <c r="G35" s="214"/>
      <c r="H35" s="214"/>
      <c r="I35" s="214"/>
    </row>
    <row r="36" spans="1:10" ht="18" customHeight="1" x14ac:dyDescent="0.25">
      <c r="A36" s="1670"/>
      <c r="B36" s="1016" t="s">
        <v>666</v>
      </c>
      <c r="C36" s="1001"/>
      <c r="D36" s="217"/>
      <c r="E36" s="1973">
        <f>SUM('Form "A" Office'!K124+'Form "B" Field'!K167+'Form "C" Drilling'!J60+'Form "D" Other'!K56)</f>
        <v>0</v>
      </c>
      <c r="F36" s="1975"/>
      <c r="G36" s="1948" t="s">
        <v>19</v>
      </c>
      <c r="H36" s="1949"/>
      <c r="I36" s="1671">
        <f>'Cost Summary'!B25</f>
        <v>0</v>
      </c>
      <c r="J36" s="1672"/>
    </row>
    <row r="37" spans="1:10" ht="18" customHeight="1" thickBot="1" x14ac:dyDescent="0.3">
      <c r="A37" s="1670"/>
      <c r="B37" s="1026" t="s">
        <v>665</v>
      </c>
      <c r="C37" s="1002"/>
      <c r="D37" s="1673">
        <f>SUM(E38:F43)</f>
        <v>0</v>
      </c>
      <c r="E37" s="1976"/>
      <c r="F37" s="1978"/>
      <c r="G37" s="1989" t="s">
        <v>1025</v>
      </c>
      <c r="H37" s="1990"/>
      <c r="I37" s="1674">
        <f>SUM('Form "B" Field'!F111)</f>
        <v>0</v>
      </c>
      <c r="J37" s="1675"/>
    </row>
    <row r="38" spans="1:10" ht="18" customHeight="1" x14ac:dyDescent="0.25">
      <c r="B38" s="1813" t="s">
        <v>762</v>
      </c>
      <c r="C38" s="1814"/>
      <c r="D38" s="1815"/>
      <c r="E38" s="1981"/>
      <c r="F38" s="1982"/>
      <c r="G38" s="1950" t="s">
        <v>344</v>
      </c>
      <c r="H38" s="1951"/>
      <c r="I38" s="1676">
        <f>'Cost Summary'!H26</f>
        <v>0</v>
      </c>
      <c r="J38" s="1677"/>
    </row>
    <row r="39" spans="1:10" ht="18" customHeight="1" x14ac:dyDescent="0.25">
      <c r="B39" s="1813"/>
      <c r="C39" s="1814"/>
      <c r="D39" s="1815"/>
      <c r="E39" s="1981"/>
      <c r="F39" s="1982"/>
      <c r="G39" s="1950" t="s">
        <v>15</v>
      </c>
      <c r="H39" s="1951"/>
      <c r="I39" s="1676">
        <f>'Form "B" Field'!L98</f>
        <v>0</v>
      </c>
      <c r="J39" s="1678"/>
    </row>
    <row r="40" spans="1:10" ht="18" customHeight="1" thickBot="1" x14ac:dyDescent="0.3">
      <c r="B40" s="1918"/>
      <c r="C40" s="1919"/>
      <c r="D40" s="1920"/>
      <c r="E40" s="1983"/>
      <c r="F40" s="1984"/>
      <c r="G40" s="1950" t="s">
        <v>213</v>
      </c>
      <c r="H40" s="1951"/>
      <c r="I40" s="1679">
        <f>'Form "C" Drilling'!J60</f>
        <v>0</v>
      </c>
      <c r="J40" s="1678"/>
    </row>
    <row r="41" spans="1:10" ht="18" customHeight="1" x14ac:dyDescent="0.25">
      <c r="B41" s="1810" t="s">
        <v>763</v>
      </c>
      <c r="C41" s="1811"/>
      <c r="D41" s="1812"/>
      <c r="E41" s="1985"/>
      <c r="F41" s="1986"/>
      <c r="G41" s="1950" t="s">
        <v>13</v>
      </c>
      <c r="H41" s="1951"/>
      <c r="I41" s="1676">
        <f>'Cost Summary'!H30</f>
        <v>0</v>
      </c>
      <c r="J41" s="1675"/>
    </row>
    <row r="42" spans="1:10" ht="18" customHeight="1" x14ac:dyDescent="0.25">
      <c r="B42" s="1813"/>
      <c r="C42" s="1814"/>
      <c r="D42" s="1815"/>
      <c r="E42" s="1981"/>
      <c r="F42" s="1982"/>
      <c r="G42" s="1950" t="s">
        <v>667</v>
      </c>
      <c r="H42" s="1951"/>
      <c r="I42" s="1676">
        <f>'Cost Summary'!H34</f>
        <v>0</v>
      </c>
      <c r="J42" s="1678"/>
    </row>
    <row r="43" spans="1:10" ht="18" customHeight="1" thickBot="1" x14ac:dyDescent="0.3">
      <c r="B43" s="1918"/>
      <c r="C43" s="1919"/>
      <c r="D43" s="1920"/>
      <c r="E43" s="1983"/>
      <c r="F43" s="1984"/>
      <c r="G43" s="1987"/>
      <c r="H43" s="1988"/>
      <c r="I43" s="1680"/>
      <c r="J43" s="1681"/>
    </row>
    <row r="44" spans="1:10" ht="18" customHeight="1" x14ac:dyDescent="0.25">
      <c r="B44" s="1969" t="s">
        <v>664</v>
      </c>
      <c r="C44" s="1970"/>
      <c r="D44" s="1970"/>
      <c r="E44" s="1973">
        <f>E36-(D37)</f>
        <v>0</v>
      </c>
      <c r="F44" s="1974"/>
      <c r="G44" s="1974"/>
      <c r="H44" s="1974"/>
      <c r="I44" s="1975"/>
      <c r="J44" s="1672"/>
    </row>
    <row r="45" spans="1:10" ht="18" customHeight="1" thickBot="1" x14ac:dyDescent="0.3">
      <c r="B45" s="1971"/>
      <c r="C45" s="1972"/>
      <c r="D45" s="1972"/>
      <c r="E45" s="1976"/>
      <c r="F45" s="1977"/>
      <c r="G45" s="1977"/>
      <c r="H45" s="1977"/>
      <c r="I45" s="1978"/>
      <c r="J45" s="1681"/>
    </row>
    <row r="46" spans="1:10" x14ac:dyDescent="0.25">
      <c r="D46" s="1967"/>
      <c r="E46" s="1967"/>
      <c r="F46" s="1967"/>
      <c r="G46" s="1967"/>
      <c r="H46" s="1967"/>
      <c r="I46" s="1967"/>
    </row>
    <row r="47" spans="1:10" x14ac:dyDescent="0.25">
      <c r="D47" s="1968"/>
      <c r="E47" s="1968"/>
      <c r="F47" s="1968"/>
      <c r="G47" s="1968"/>
      <c r="H47" s="1968"/>
      <c r="I47" s="1968"/>
    </row>
  </sheetData>
  <sheetProtection algorithmName="SHA-512" hashValue="Uelpa2TGLNbnIdrbO5/fP9uHnW4OWOVqsqEb/O9vBimyUVTYWQXZpKxuOSe3003K9g9JMan7daTUWWLaw/MNDw==" saltValue="Z6WqhbyEJWyZmDpS2vVIyw==" spinCount="100000" sheet="1" objects="1" scenarios="1" selectLockedCells="1"/>
  <protectedRanges>
    <protectedRange sqref="E11:I12 E13:I14 F17:I18 F19:I20 F23:I25 F26:I28 E38:F40 E41:F43" name="Range2"/>
    <protectedRange sqref="E11:I12 E13:I14 F17:I18 F19:I20 F23:I25 F26:I28 E38:F40 E41:F43" name="Range3"/>
  </protectedRanges>
  <customSheetViews>
    <customSheetView guid="{BC429C65-53B8-4F97-88D2-74ECCD734800}" showGridLines="0" showRowCol="0" fitToPage="1">
      <selection activeCell="E9" sqref="E9:I10"/>
      <pageMargins left="0.25" right="0.25" top="0.75" bottom="1" header="0" footer="0"/>
      <printOptions horizontalCentered="1"/>
      <pageSetup scale="98" orientation="portrait" r:id="rId1"/>
      <headerFooter alignWithMargins="0">
        <oddHeader>&amp;RCP</oddHeader>
        <oddFooter>&amp;LADEM Form 318 07/2012</oddFooter>
      </headerFooter>
    </customSheetView>
  </customSheetViews>
  <mergeCells count="40">
    <mergeCell ref="D46:F47"/>
    <mergeCell ref="B44:D45"/>
    <mergeCell ref="G46:I47"/>
    <mergeCell ref="E44:I45"/>
    <mergeCell ref="B24:D24"/>
    <mergeCell ref="G39:H39"/>
    <mergeCell ref="G40:H40"/>
    <mergeCell ref="B38:D40"/>
    <mergeCell ref="E38:F40"/>
    <mergeCell ref="B41:D43"/>
    <mergeCell ref="E41:F43"/>
    <mergeCell ref="G43:H43"/>
    <mergeCell ref="G41:H41"/>
    <mergeCell ref="G42:H42"/>
    <mergeCell ref="E36:F37"/>
    <mergeCell ref="G37:H37"/>
    <mergeCell ref="G36:H36"/>
    <mergeCell ref="G38:H38"/>
    <mergeCell ref="F26:I28"/>
    <mergeCell ref="F29:I31"/>
    <mergeCell ref="G32:I33"/>
    <mergeCell ref="B32:F33"/>
    <mergeCell ref="F23:I25"/>
    <mergeCell ref="B25:D25"/>
    <mergeCell ref="B22:E22"/>
    <mergeCell ref="B23:D23"/>
    <mergeCell ref="F15:I16"/>
    <mergeCell ref="B15:D16"/>
    <mergeCell ref="B17:D18"/>
    <mergeCell ref="B19:D20"/>
    <mergeCell ref="E17:I18"/>
    <mergeCell ref="E19:I20"/>
    <mergeCell ref="E14:I14"/>
    <mergeCell ref="E13:I13"/>
    <mergeCell ref="B5:I5"/>
    <mergeCell ref="B6:I8"/>
    <mergeCell ref="E9:I10"/>
    <mergeCell ref="B9:D10"/>
    <mergeCell ref="B11:D12"/>
    <mergeCell ref="E11:I12"/>
  </mergeCells>
  <phoneticPr fontId="4" type="noConversion"/>
  <conditionalFormatting sqref="E11 E13:I14 E17 E19">
    <cfRule type="expression" dxfId="19" priority="9">
      <formula>ISBLANK(E11:I12)</formula>
    </cfRule>
  </conditionalFormatting>
  <conditionalFormatting sqref="F23:I25">
    <cfRule type="expression" dxfId="18" priority="5">
      <formula>ISBLANK(F23:I25)</formula>
    </cfRule>
  </conditionalFormatting>
  <conditionalFormatting sqref="B5">
    <cfRule type="expression" dxfId="17" priority="4">
      <formula>ISBLANK(B5:I5)</formula>
    </cfRule>
  </conditionalFormatting>
  <conditionalFormatting sqref="F26:I28">
    <cfRule type="expression" dxfId="16" priority="3">
      <formula>ISBLANK(F26:I28)</formula>
    </cfRule>
  </conditionalFormatting>
  <conditionalFormatting sqref="B4">
    <cfRule type="expression" dxfId="15" priority="1">
      <formula>ISBLANK(B4:I4)</formula>
    </cfRule>
  </conditionalFormatting>
  <printOptions horizontalCentered="1"/>
  <pageMargins left="0" right="0" top="0.35" bottom="0.75" header="0.3" footer="0.3"/>
  <pageSetup scale="89" orientation="portrait" r:id="rId2"/>
  <headerFooter alignWithMargins="0">
    <oddHeader>&amp;RCP</oddHeader>
    <oddFooter>&amp;LADEM Form 31 DRAFT&amp;C2/2025&amp;R*M9 DRAFT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53" r:id="rId5" name="Button 5">
              <controlPr defaultSize="0" print="0" autoFill="0" autoPict="0" macro="[0]!deletecptotalinputs">
                <anchor>
                  <from>
                    <xdr:col>0</xdr:col>
                    <xdr:colOff>175260</xdr:colOff>
                    <xdr:row>11</xdr:row>
                    <xdr:rowOff>198120</xdr:rowOff>
                  </from>
                  <to>
                    <xdr:col>0</xdr:col>
                    <xdr:colOff>769620</xdr:colOff>
                    <xdr:row>13</xdr:row>
                    <xdr:rowOff>182880</xdr:rowOff>
                  </to>
                </anchor>
              </controlPr>
            </control>
          </mc:Choice>
        </mc:AlternateContent>
        <mc:AlternateContent xmlns:mc="http://schemas.openxmlformats.org/markup-compatibility/2006">
          <mc:Choice Requires="x14">
            <control shapeId="2054" r:id="rId6" name="Button 6">
              <controlPr defaultSize="0" print="0" autoFill="0" autoPict="0" macro="[0]!eleven">
                <anchor moveWithCells="1">
                  <from>
                    <xdr:col>0</xdr:col>
                    <xdr:colOff>175260</xdr:colOff>
                    <xdr:row>14</xdr:row>
                    <xdr:rowOff>0</xdr:rowOff>
                  </from>
                  <to>
                    <xdr:col>0</xdr:col>
                    <xdr:colOff>769620</xdr:colOff>
                    <xdr:row>16</xdr:row>
                    <xdr:rowOff>83820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B1:K37"/>
  <sheetViews>
    <sheetView showGridLines="0" topLeftCell="A4" workbookViewId="0">
      <selection activeCell="K25" sqref="K25"/>
    </sheetView>
  </sheetViews>
  <sheetFormatPr defaultRowHeight="13.2" x14ac:dyDescent="0.25"/>
  <cols>
    <col min="10" max="10" width="11.109375" bestFit="1" customWidth="1"/>
  </cols>
  <sheetData>
    <row r="1" spans="2:10" ht="15.6" x14ac:dyDescent="0.3">
      <c r="B1" s="2026"/>
      <c r="C1" s="2026"/>
      <c r="D1" s="2026"/>
      <c r="E1" s="2026"/>
      <c r="F1" s="2026"/>
      <c r="G1" s="2026"/>
      <c r="H1" s="2026"/>
      <c r="I1" s="2026"/>
    </row>
    <row r="2" spans="2:10" ht="17.399999999999999" x14ac:dyDescent="0.3">
      <c r="B2" s="2029" t="s">
        <v>18</v>
      </c>
      <c r="C2" s="2029"/>
      <c r="D2" s="2029"/>
      <c r="E2" s="2029"/>
      <c r="F2" s="2029"/>
      <c r="G2" s="2029"/>
      <c r="H2" s="2029"/>
      <c r="I2" s="2029"/>
    </row>
    <row r="5" spans="2:10" x14ac:dyDescent="0.25">
      <c r="B5" s="2030" t="s">
        <v>10</v>
      </c>
      <c r="C5" s="2030"/>
      <c r="D5" s="2027"/>
      <c r="E5" s="2027"/>
      <c r="F5" s="2027"/>
      <c r="G5" s="2027"/>
      <c r="H5" s="2027" t="s">
        <v>11</v>
      </c>
      <c r="I5" s="2027"/>
    </row>
    <row r="6" spans="2:10" ht="13.8" thickBot="1" x14ac:dyDescent="0.3">
      <c r="B6" s="2031"/>
      <c r="C6" s="2031"/>
      <c r="D6" s="2028"/>
      <c r="E6" s="2028"/>
      <c r="F6" s="2028"/>
      <c r="G6" s="2028"/>
      <c r="H6" s="2028"/>
      <c r="I6" s="2028"/>
    </row>
    <row r="7" spans="2:10" ht="13.8" thickBot="1" x14ac:dyDescent="0.3">
      <c r="B7" s="2011" t="s">
        <v>93</v>
      </c>
      <c r="C7" s="2012"/>
      <c r="D7" s="2012"/>
      <c r="E7" s="2012"/>
      <c r="F7" s="2012"/>
      <c r="G7" s="2012"/>
      <c r="H7" s="2012"/>
      <c r="I7" s="2013"/>
    </row>
    <row r="8" spans="2:10" x14ac:dyDescent="0.25">
      <c r="B8" s="2018" t="s">
        <v>373</v>
      </c>
      <c r="C8" s="2019"/>
      <c r="D8" s="2019"/>
      <c r="E8" s="2019"/>
      <c r="F8" s="2019"/>
      <c r="G8" s="2020"/>
      <c r="H8" s="2008">
        <f>'Office Breakout'!M101</f>
        <v>0</v>
      </c>
      <c r="I8" s="2008"/>
    </row>
    <row r="9" spans="2:10" x14ac:dyDescent="0.25">
      <c r="B9" s="2003" t="s">
        <v>357</v>
      </c>
      <c r="C9" s="2004"/>
      <c r="D9" s="2004"/>
      <c r="E9" s="2004"/>
      <c r="F9" s="2004"/>
      <c r="G9" s="2007"/>
      <c r="H9" s="1997">
        <f>'Office Breakout'!N101</f>
        <v>0</v>
      </c>
      <c r="I9" s="1997"/>
    </row>
    <row r="10" spans="2:10" x14ac:dyDescent="0.25">
      <c r="B10" s="2021" t="s">
        <v>35</v>
      </c>
      <c r="C10" s="2022"/>
      <c r="D10" s="2022"/>
      <c r="E10" s="2022"/>
      <c r="F10" s="2022"/>
      <c r="G10" s="2023"/>
      <c r="H10" s="1997">
        <f>'Office Breakout'!O101</f>
        <v>0</v>
      </c>
      <c r="I10" s="1997"/>
    </row>
    <row r="11" spans="2:10" x14ac:dyDescent="0.25">
      <c r="B11" s="2003" t="s">
        <v>444</v>
      </c>
      <c r="C11" s="2004"/>
      <c r="D11" s="2004"/>
      <c r="E11" s="2004"/>
      <c r="F11" s="2004"/>
      <c r="G11" s="2007"/>
      <c r="H11" s="1997">
        <f>'Office Breakout'!P101</f>
        <v>0</v>
      </c>
      <c r="I11" s="1997"/>
    </row>
    <row r="12" spans="2:10" ht="13.8" thickBot="1" x14ac:dyDescent="0.3">
      <c r="B12" s="2003" t="s">
        <v>374</v>
      </c>
      <c r="C12" s="2004"/>
      <c r="D12" s="2004"/>
      <c r="E12" s="2005"/>
      <c r="F12" s="2005"/>
      <c r="G12" s="2006"/>
      <c r="H12" s="2002">
        <f>'Office Breakout'!Q101</f>
        <v>0</v>
      </c>
      <c r="I12" s="2002"/>
      <c r="J12" s="3"/>
    </row>
    <row r="13" spans="2:10" ht="13.8" thickBot="1" x14ac:dyDescent="0.3">
      <c r="B13" s="49"/>
      <c r="E13" s="2009" t="s">
        <v>94</v>
      </c>
      <c r="F13" s="2010"/>
      <c r="G13" s="2001"/>
      <c r="H13" s="2000">
        <f>SUM(H8:H12)+ IF('Form "A" Office'!H120&lt;&gt;"",'Form "A" Office'!H120,0)+IF('Form "A" Office'!H122&lt;&gt;"",'Form "A" Office'!H122,0)</f>
        <v>0</v>
      </c>
      <c r="I13" s="2001"/>
    </row>
    <row r="14" spans="2:10" ht="13.8" thickBot="1" x14ac:dyDescent="0.3">
      <c r="B14" s="2011" t="s">
        <v>12</v>
      </c>
      <c r="C14" s="2012"/>
      <c r="D14" s="2012"/>
      <c r="E14" s="2012"/>
      <c r="F14" s="2012"/>
      <c r="G14" s="2012"/>
      <c r="H14" s="2012"/>
      <c r="I14" s="2013"/>
    </row>
    <row r="15" spans="2:10" x14ac:dyDescent="0.25">
      <c r="B15" s="2018" t="s">
        <v>373</v>
      </c>
      <c r="C15" s="2019"/>
      <c r="D15" s="2019"/>
      <c r="E15" s="2019"/>
      <c r="F15" s="2019"/>
      <c r="G15" s="2020"/>
      <c r="H15" s="2025">
        <f>'Field Breakout'!M74</f>
        <v>0</v>
      </c>
      <c r="I15" s="2008"/>
    </row>
    <row r="16" spans="2:10" x14ac:dyDescent="0.25">
      <c r="B16" s="2003" t="s">
        <v>357</v>
      </c>
      <c r="C16" s="2004"/>
      <c r="D16" s="2004"/>
      <c r="E16" s="2004"/>
      <c r="F16" s="2004"/>
      <c r="G16" s="2007"/>
      <c r="H16" s="2024">
        <f>'Field Breakout'!N74</f>
        <v>0</v>
      </c>
      <c r="I16" s="1997"/>
    </row>
    <row r="17" spans="2:11" x14ac:dyDescent="0.25">
      <c r="B17" s="2021" t="s">
        <v>39</v>
      </c>
      <c r="C17" s="2022"/>
      <c r="D17" s="2022"/>
      <c r="E17" s="2022"/>
      <c r="F17" s="2022"/>
      <c r="G17" s="2023"/>
      <c r="H17" s="2024">
        <f>'Field Breakout'!O74</f>
        <v>0</v>
      </c>
      <c r="I17" s="1997"/>
    </row>
    <row r="18" spans="2:11" ht="13.8" thickBot="1" x14ac:dyDescent="0.3">
      <c r="B18" s="2003" t="s">
        <v>398</v>
      </c>
      <c r="C18" s="2004"/>
      <c r="D18" s="2004"/>
      <c r="E18" s="2005"/>
      <c r="F18" s="2005"/>
      <c r="G18" s="2006"/>
      <c r="H18" s="2015">
        <f>'Field Breakout'!P74+(IF('Form "F" Details'!K39="",0,'Form "F" Details'!K39))</f>
        <v>0</v>
      </c>
      <c r="I18" s="2002"/>
      <c r="J18" s="3"/>
    </row>
    <row r="19" spans="2:11" ht="13.8" thickBot="1" x14ac:dyDescent="0.3">
      <c r="B19" s="61"/>
      <c r="C19" s="62"/>
      <c r="D19" s="61"/>
      <c r="E19" s="2009" t="s">
        <v>90</v>
      </c>
      <c r="F19" s="2010"/>
      <c r="G19" s="2001"/>
      <c r="H19" s="2000">
        <f>SUM(H15:H18)+IF('Form "B" Field'!G81&lt;&gt;"",'Form "B" Field'!G81,0)</f>
        <v>0</v>
      </c>
      <c r="I19" s="2001"/>
      <c r="K19" t="s">
        <v>1323</v>
      </c>
    </row>
    <row r="20" spans="2:11" ht="13.8" thickBot="1" x14ac:dyDescent="0.3">
      <c r="B20" s="2011" t="s">
        <v>14</v>
      </c>
      <c r="C20" s="2012"/>
      <c r="D20" s="2012"/>
      <c r="E20" s="2012"/>
      <c r="F20" s="2012"/>
      <c r="G20" s="2012"/>
      <c r="H20" s="2012"/>
      <c r="I20" s="2013"/>
    </row>
    <row r="21" spans="2:11" x14ac:dyDescent="0.25">
      <c r="B21" s="2018" t="s">
        <v>373</v>
      </c>
      <c r="C21" s="2019"/>
      <c r="D21" s="2019"/>
      <c r="E21" s="2019"/>
      <c r="F21" s="2019"/>
      <c r="G21" s="2020"/>
      <c r="H21" s="2008" t="str">
        <f>'Form "B" Field'!K93</f>
        <v/>
      </c>
      <c r="I21" s="2008"/>
    </row>
    <row r="22" spans="2:11" x14ac:dyDescent="0.25">
      <c r="B22" s="2003" t="s">
        <v>357</v>
      </c>
      <c r="C22" s="2004"/>
      <c r="D22" s="2004"/>
      <c r="E22" s="2004"/>
      <c r="F22" s="2004"/>
      <c r="G22" s="2007"/>
      <c r="H22" s="1997" t="str">
        <f>'Form "B" Field'!K92</f>
        <v/>
      </c>
      <c r="I22" s="1997"/>
    </row>
    <row r="23" spans="2:11" x14ac:dyDescent="0.25">
      <c r="B23" s="2021" t="s">
        <v>39</v>
      </c>
      <c r="C23" s="2022"/>
      <c r="D23" s="2022"/>
      <c r="E23" s="2022"/>
      <c r="F23" s="2022"/>
      <c r="G23" s="2023"/>
      <c r="H23" s="1997" t="str">
        <f>'Form "B" Field'!K91</f>
        <v/>
      </c>
      <c r="I23" s="1997"/>
    </row>
    <row r="24" spans="2:11" ht="13.8" thickBot="1" x14ac:dyDescent="0.3">
      <c r="B24" s="2003" t="s">
        <v>398</v>
      </c>
      <c r="C24" s="2004"/>
      <c r="D24" s="2004"/>
      <c r="E24" s="2005"/>
      <c r="F24" s="2005"/>
      <c r="G24" s="2006"/>
      <c r="H24" s="2002" t="str">
        <f>'Form "B" Field'!K90</f>
        <v/>
      </c>
      <c r="I24" s="2002"/>
      <c r="J24" s="3"/>
    </row>
    <row r="25" spans="2:11" ht="13.8" thickBot="1" x14ac:dyDescent="0.3">
      <c r="B25" s="49">
        <f>SUM(H13+H19+H25)</f>
        <v>0</v>
      </c>
      <c r="E25" s="2009" t="s">
        <v>91</v>
      </c>
      <c r="F25" s="2010"/>
      <c r="G25" s="2001"/>
      <c r="H25" s="2000">
        <f>SUM(H21:H24)</f>
        <v>0</v>
      </c>
      <c r="I25" s="2001"/>
    </row>
    <row r="26" spans="2:11" ht="13.8" thickBot="1" x14ac:dyDescent="0.3">
      <c r="B26" s="1992" t="s">
        <v>344</v>
      </c>
      <c r="C26" s="2014"/>
      <c r="D26" s="1999"/>
      <c r="E26" s="2016"/>
      <c r="F26" s="2016"/>
      <c r="G26" s="2017"/>
      <c r="H26" s="2008">
        <f>SUM('Form "B" Field'!K87:'Form "B" Field'!K88)</f>
        <v>0</v>
      </c>
      <c r="I26" s="2008"/>
    </row>
    <row r="27" spans="2:11" ht="13.8" thickBot="1" x14ac:dyDescent="0.3">
      <c r="B27" s="1991"/>
      <c r="C27" s="1991"/>
      <c r="D27" s="1991"/>
      <c r="E27" s="1991"/>
      <c r="F27" s="1991"/>
      <c r="G27" s="1991"/>
      <c r="H27" s="1991"/>
      <c r="I27" s="1991"/>
    </row>
    <row r="28" spans="2:11" ht="13.8" thickBot="1" x14ac:dyDescent="0.3">
      <c r="B28" s="1992" t="s">
        <v>15</v>
      </c>
      <c r="C28" s="1993"/>
      <c r="D28" s="1994"/>
      <c r="E28" s="1995"/>
      <c r="F28" s="1995"/>
      <c r="G28" s="1996"/>
      <c r="H28" s="1997">
        <f>SUM('Form "B" Field'!K95:'Form "B" Field'!K97)</f>
        <v>0</v>
      </c>
      <c r="I28" s="1997"/>
    </row>
    <row r="29" spans="2:11" ht="13.8" thickBot="1" x14ac:dyDescent="0.3"/>
    <row r="30" spans="2:11" ht="13.8" thickBot="1" x14ac:dyDescent="0.3">
      <c r="B30" s="1992" t="s">
        <v>13</v>
      </c>
      <c r="C30" s="1993"/>
      <c r="D30" s="1994"/>
      <c r="E30" s="1995"/>
      <c r="F30" s="1995"/>
      <c r="G30" s="1996"/>
      <c r="H30" s="1997">
        <f>'Form "B" Field'!I83</f>
        <v>0</v>
      </c>
      <c r="I30" s="1997"/>
    </row>
    <row r="31" spans="2:11" ht="13.8" thickBot="1" x14ac:dyDescent="0.3"/>
    <row r="32" spans="2:11" ht="13.8" thickBot="1" x14ac:dyDescent="0.3">
      <c r="B32" s="1992" t="s">
        <v>213</v>
      </c>
      <c r="C32" s="1993"/>
      <c r="D32" s="1994"/>
      <c r="E32" s="1995"/>
      <c r="F32" s="1995"/>
      <c r="G32" s="1996"/>
      <c r="H32" s="1997">
        <f>'Form "C" Drilling'!G23</f>
        <v>0</v>
      </c>
      <c r="I32" s="1997"/>
    </row>
    <row r="33" spans="2:9" ht="13.8" thickBot="1" x14ac:dyDescent="0.3"/>
    <row r="34" spans="2:9" ht="13.8" thickBot="1" x14ac:dyDescent="0.3">
      <c r="B34" s="59" t="s">
        <v>667</v>
      </c>
      <c r="C34" s="60"/>
      <c r="D34" s="1999"/>
      <c r="E34" s="1995"/>
      <c r="F34" s="1995"/>
      <c r="G34" s="1996"/>
      <c r="H34" s="1997">
        <f>('Form "D" Other'!K56)+('Form "B" Field'!F122)</f>
        <v>0</v>
      </c>
      <c r="I34" s="1997"/>
    </row>
    <row r="37" spans="2:9" x14ac:dyDescent="0.25">
      <c r="H37" s="1998">
        <f>SUM(H13+H19+H25+H26+H28+H30+H32+H34)</f>
        <v>0</v>
      </c>
      <c r="I37" s="1998"/>
    </row>
  </sheetData>
  <customSheetViews>
    <customSheetView guid="{BC429C65-53B8-4F97-88D2-74ECCD734800}" showGridLines="0" state="veryHidden" topLeftCell="A3">
      <selection activeCell="B8" sqref="B8:I10"/>
      <pageMargins left="0.68" right="0.75" top="1" bottom="1" header="2.85" footer="0.5"/>
      <pageSetup orientation="portrait" r:id="rId1"/>
      <headerFooter alignWithMargins="0">
        <oddHeader>&amp;C&amp;G</oddHeader>
      </headerFooter>
    </customSheetView>
  </customSheetViews>
  <mergeCells count="60">
    <mergeCell ref="B1:I1"/>
    <mergeCell ref="B7:I7"/>
    <mergeCell ref="D5:E6"/>
    <mergeCell ref="F5:G6"/>
    <mergeCell ref="B2:I2"/>
    <mergeCell ref="B5:C6"/>
    <mergeCell ref="H5:I6"/>
    <mergeCell ref="B11:G11"/>
    <mergeCell ref="H8:I8"/>
    <mergeCell ref="B12:G12"/>
    <mergeCell ref="H12:I12"/>
    <mergeCell ref="H9:I9"/>
    <mergeCell ref="H11:I11"/>
    <mergeCell ref="B9:G9"/>
    <mergeCell ref="B8:G8"/>
    <mergeCell ref="B10:G10"/>
    <mergeCell ref="H10:I10"/>
    <mergeCell ref="H16:I16"/>
    <mergeCell ref="B17:G17"/>
    <mergeCell ref="H17:I17"/>
    <mergeCell ref="B16:G16"/>
    <mergeCell ref="H15:I15"/>
    <mergeCell ref="B15:G15"/>
    <mergeCell ref="E13:G13"/>
    <mergeCell ref="B14:I14"/>
    <mergeCell ref="H13:I13"/>
    <mergeCell ref="B26:C26"/>
    <mergeCell ref="H23:I23"/>
    <mergeCell ref="H18:I18"/>
    <mergeCell ref="B18:G18"/>
    <mergeCell ref="E19:G19"/>
    <mergeCell ref="H19:I19"/>
    <mergeCell ref="B20:I20"/>
    <mergeCell ref="H22:I22"/>
    <mergeCell ref="D26:G26"/>
    <mergeCell ref="E25:G25"/>
    <mergeCell ref="B21:G21"/>
    <mergeCell ref="H21:I21"/>
    <mergeCell ref="B23:G23"/>
    <mergeCell ref="H25:I25"/>
    <mergeCell ref="H24:I24"/>
    <mergeCell ref="B24:G24"/>
    <mergeCell ref="B22:G22"/>
    <mergeCell ref="H26:I26"/>
    <mergeCell ref="H37:I37"/>
    <mergeCell ref="H34:I34"/>
    <mergeCell ref="H30:I30"/>
    <mergeCell ref="H32:I32"/>
    <mergeCell ref="D34:G34"/>
    <mergeCell ref="D30:G30"/>
    <mergeCell ref="H27:I27"/>
    <mergeCell ref="B27:C27"/>
    <mergeCell ref="D27:E27"/>
    <mergeCell ref="F27:G27"/>
    <mergeCell ref="B32:C32"/>
    <mergeCell ref="D28:G28"/>
    <mergeCell ref="B28:C28"/>
    <mergeCell ref="D32:G32"/>
    <mergeCell ref="B30:C30"/>
    <mergeCell ref="H28:I28"/>
  </mergeCells>
  <phoneticPr fontId="4" type="noConversion"/>
  <pageMargins left="0.68" right="0.75" top="1" bottom="1" header="2.85" footer="0.5"/>
  <pageSetup orientation="portrait" r:id="rId2"/>
  <headerFooter alignWithMargins="0">
    <oddHeader>&amp;C&amp;G</oddHeader>
  </headerFooter>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0" tint="-4.9989318521683403E-2"/>
  </sheetPr>
  <dimension ref="A1:L126"/>
  <sheetViews>
    <sheetView showGridLines="0" showRowColHeaders="0" zoomScale="120" zoomScaleNormal="120" zoomScaleSheetLayoutView="100" workbookViewId="0">
      <pane xSplit="1" ySplit="6" topLeftCell="B7" activePane="bottomRight" state="frozen"/>
      <selection activeCell="B6" sqref="B6:I8"/>
      <selection pane="topRight" activeCell="B6" sqref="B6:I8"/>
      <selection pane="bottomLeft" activeCell="B6" sqref="B6:I8"/>
      <selection pane="bottomRight" activeCell="B6" sqref="B6:I8"/>
    </sheetView>
  </sheetViews>
  <sheetFormatPr defaultColWidth="11.44140625" defaultRowHeight="13.2" x14ac:dyDescent="0.25"/>
  <cols>
    <col min="1" max="1" width="13.6640625" style="807" customWidth="1"/>
    <col min="2" max="4" width="11.44140625" style="808" customWidth="1"/>
    <col min="5" max="5" width="7.109375" style="808" customWidth="1"/>
    <col min="6" max="6" width="6.33203125" style="808" customWidth="1"/>
    <col min="7" max="7" width="9" style="808" customWidth="1"/>
    <col min="8" max="8" width="9.109375" style="986" customWidth="1"/>
    <col min="9" max="9" width="9.44140625" style="962" customWidth="1"/>
    <col min="10" max="10" width="9.88671875" style="808" customWidth="1"/>
    <col min="11" max="11" width="13.5546875" style="963" customWidth="1"/>
    <col min="12" max="16384" width="11.44140625" style="808"/>
  </cols>
  <sheetData>
    <row r="1" spans="2:11" ht="19.2" customHeight="1" thickBot="1" x14ac:dyDescent="0.3">
      <c r="H1" s="961"/>
      <c r="J1" s="809"/>
    </row>
    <row r="2" spans="2:11" ht="25.2" customHeight="1" thickBot="1" x14ac:dyDescent="0.3">
      <c r="B2" s="2032" t="s">
        <v>864</v>
      </c>
      <c r="C2" s="2033"/>
      <c r="D2" s="2033"/>
      <c r="E2" s="2033"/>
      <c r="F2" s="2033"/>
      <c r="G2" s="2033"/>
      <c r="H2" s="2033"/>
      <c r="I2" s="2033"/>
      <c r="J2" s="2033"/>
      <c r="K2" s="2034"/>
    </row>
    <row r="3" spans="2:11" ht="28.2" customHeight="1" thickBot="1" x14ac:dyDescent="0.3">
      <c r="B3" s="2035" t="s">
        <v>942</v>
      </c>
      <c r="C3" s="2036"/>
      <c r="D3" s="2036"/>
      <c r="E3" s="2036"/>
      <c r="F3" s="2036"/>
      <c r="G3" s="2036"/>
      <c r="H3" s="2036"/>
      <c r="I3" s="2036"/>
      <c r="J3" s="2036"/>
      <c r="K3" s="2037"/>
    </row>
    <row r="4" spans="2:11" ht="16.2" thickBot="1" x14ac:dyDescent="0.3">
      <c r="B4" s="2038" t="s">
        <v>976</v>
      </c>
      <c r="C4" s="2039"/>
      <c r="D4" s="2039"/>
      <c r="E4" s="2039"/>
      <c r="F4" s="2039"/>
      <c r="G4" s="2039"/>
      <c r="H4" s="2039"/>
      <c r="I4" s="2039"/>
      <c r="J4" s="2039"/>
      <c r="K4" s="2040"/>
    </row>
    <row r="5" spans="2:11" ht="10.199999999999999" customHeight="1" x14ac:dyDescent="0.25">
      <c r="B5" s="964"/>
      <c r="C5" s="965"/>
      <c r="D5" s="965"/>
      <c r="E5" s="965"/>
      <c r="F5" s="965"/>
      <c r="G5" s="965"/>
      <c r="H5" s="966"/>
      <c r="I5" s="967"/>
      <c r="J5" s="968"/>
      <c r="K5" s="969"/>
    </row>
    <row r="6" spans="2:11" ht="15.6" x14ac:dyDescent="0.3">
      <c r="B6" s="2043" t="s">
        <v>314</v>
      </c>
      <c r="C6" s="2044"/>
      <c r="D6" s="2044"/>
      <c r="E6" s="2044"/>
      <c r="F6" s="2044"/>
      <c r="G6" s="2044"/>
      <c r="H6" s="970" t="s">
        <v>215</v>
      </c>
      <c r="I6" s="971" t="s">
        <v>368</v>
      </c>
      <c r="J6" s="972" t="s">
        <v>431</v>
      </c>
      <c r="K6" s="973" t="s">
        <v>885</v>
      </c>
    </row>
    <row r="7" spans="2:11" ht="13.8" x14ac:dyDescent="0.25">
      <c r="B7" s="974"/>
      <c r="C7" s="836"/>
      <c r="D7" s="836"/>
      <c r="E7" s="836"/>
      <c r="F7" s="836"/>
      <c r="G7" s="836"/>
      <c r="H7" s="975"/>
      <c r="I7" s="976"/>
      <c r="J7" s="865"/>
      <c r="K7" s="977"/>
    </row>
    <row r="8" spans="2:11" x14ac:dyDescent="0.25">
      <c r="B8" s="920" t="s">
        <v>24</v>
      </c>
      <c r="C8" s="836"/>
      <c r="D8" s="836"/>
      <c r="E8" s="836"/>
      <c r="F8" s="836"/>
      <c r="G8" s="836"/>
      <c r="H8" s="975"/>
      <c r="I8" s="976"/>
      <c r="J8" s="865"/>
      <c r="K8" s="977"/>
    </row>
    <row r="9" spans="2:11" x14ac:dyDescent="0.25">
      <c r="B9" s="920" t="s">
        <v>432</v>
      </c>
      <c r="C9" s="836"/>
      <c r="D9" s="836"/>
      <c r="E9" s="836"/>
      <c r="F9" s="836"/>
      <c r="G9" s="836"/>
      <c r="H9" s="1176">
        <f>'Initial Abatement'!L19</f>
        <v>2330</v>
      </c>
      <c r="I9" s="978" t="s">
        <v>433</v>
      </c>
      <c r="J9" s="788"/>
      <c r="K9" s="1192" t="str">
        <f>IF(J9&lt;1,"",(H9*J9))</f>
        <v/>
      </c>
    </row>
    <row r="10" spans="2:11" x14ac:dyDescent="0.25">
      <c r="B10" s="920" t="s">
        <v>23</v>
      </c>
      <c r="C10" s="836"/>
      <c r="D10" s="836"/>
      <c r="E10" s="836"/>
      <c r="F10" s="836"/>
      <c r="G10" s="836"/>
      <c r="H10" s="1176">
        <f>'Initial Abatement'!L41</f>
        <v>395</v>
      </c>
      <c r="I10" s="978" t="s">
        <v>395</v>
      </c>
      <c r="J10" s="788"/>
      <c r="K10" s="1192" t="str">
        <f t="shared" ref="K10:K80" si="0">IF(J10&lt;1,"",(H10*J10))</f>
        <v/>
      </c>
    </row>
    <row r="11" spans="2:11" x14ac:dyDescent="0.25">
      <c r="B11" s="920" t="s">
        <v>89</v>
      </c>
      <c r="C11" s="836"/>
      <c r="D11" s="836"/>
      <c r="E11" s="836"/>
      <c r="F11" s="836"/>
      <c r="G11" s="836"/>
      <c r="H11" s="1176">
        <f>'Initial Abatement'!L39</f>
        <v>558</v>
      </c>
      <c r="I11" s="978" t="s">
        <v>433</v>
      </c>
      <c r="J11" s="788"/>
      <c r="K11" s="1192" t="str">
        <f t="shared" si="0"/>
        <v/>
      </c>
    </row>
    <row r="12" spans="2:11" x14ac:dyDescent="0.25">
      <c r="B12" s="920" t="s">
        <v>918</v>
      </c>
      <c r="C12" s="836"/>
      <c r="D12" s="836"/>
      <c r="E12" s="836"/>
      <c r="F12" s="836"/>
      <c r="G12" s="836"/>
      <c r="H12" s="1176">
        <f>'Prelm Rprt'!L17</f>
        <v>5734</v>
      </c>
      <c r="I12" s="976" t="s">
        <v>363</v>
      </c>
      <c r="J12" s="788"/>
      <c r="K12" s="1192" t="str">
        <f t="shared" si="0"/>
        <v/>
      </c>
    </row>
    <row r="13" spans="2:11" x14ac:dyDescent="0.25">
      <c r="B13" s="920" t="s">
        <v>857</v>
      </c>
      <c r="C13" s="836"/>
      <c r="D13" s="836"/>
      <c r="E13" s="836"/>
      <c r="F13" s="836"/>
      <c r="G13" s="836"/>
      <c r="H13" s="1176">
        <f>'Prelm Rprt'!L32</f>
        <v>986</v>
      </c>
      <c r="I13" s="976" t="s">
        <v>363</v>
      </c>
      <c r="J13" s="788"/>
      <c r="K13" s="1192" t="str">
        <f t="shared" si="0"/>
        <v/>
      </c>
    </row>
    <row r="14" spans="2:11" x14ac:dyDescent="0.25">
      <c r="B14" s="920" t="s">
        <v>346</v>
      </c>
      <c r="C14" s="836"/>
      <c r="D14" s="836"/>
      <c r="E14" s="836"/>
      <c r="F14" s="836"/>
      <c r="G14" s="836"/>
      <c r="H14" s="1176">
        <f>'Scdry additional well Plan Rpt'!L18</f>
        <v>6606</v>
      </c>
      <c r="I14" s="976" t="s">
        <v>363</v>
      </c>
      <c r="J14" s="788"/>
      <c r="K14" s="1192" t="str">
        <f t="shared" si="0"/>
        <v/>
      </c>
    </row>
    <row r="15" spans="2:11" x14ac:dyDescent="0.25">
      <c r="B15" s="920" t="s">
        <v>292</v>
      </c>
      <c r="C15" s="836"/>
      <c r="D15" s="836"/>
      <c r="E15" s="836"/>
      <c r="F15" s="836"/>
      <c r="G15" s="836"/>
      <c r="H15" s="1176">
        <f>'Scdry additional well Plan Rpt'!L20</f>
        <v>176</v>
      </c>
      <c r="I15" s="976" t="s">
        <v>436</v>
      </c>
      <c r="J15" s="788"/>
      <c r="K15" s="1192" t="str">
        <f t="shared" si="0"/>
        <v/>
      </c>
    </row>
    <row r="16" spans="2:11" x14ac:dyDescent="0.25">
      <c r="B16" s="920" t="s">
        <v>55</v>
      </c>
      <c r="C16" s="836"/>
      <c r="D16" s="836"/>
      <c r="E16" s="836"/>
      <c r="F16" s="836"/>
      <c r="G16" s="836"/>
      <c r="H16" s="1176">
        <f>'Scdry additional well Plan Rpt'!L118</f>
        <v>213.5</v>
      </c>
      <c r="I16" s="976" t="s">
        <v>362</v>
      </c>
      <c r="J16" s="788"/>
      <c r="K16" s="1192" t="str">
        <f t="shared" si="0"/>
        <v/>
      </c>
    </row>
    <row r="17" spans="2:11" x14ac:dyDescent="0.25">
      <c r="B17" s="920" t="s">
        <v>472</v>
      </c>
      <c r="C17" s="836"/>
      <c r="D17" s="836"/>
      <c r="E17" s="836"/>
      <c r="F17" s="836"/>
      <c r="G17" s="836"/>
      <c r="H17" s="1176">
        <f>'Scdry additional well Plan Rpt'!L115</f>
        <v>305</v>
      </c>
      <c r="I17" s="976" t="s">
        <v>362</v>
      </c>
      <c r="J17" s="788"/>
      <c r="K17" s="1192" t="str">
        <f t="shared" si="0"/>
        <v/>
      </c>
    </row>
    <row r="18" spans="2:11" x14ac:dyDescent="0.25">
      <c r="B18" s="920" t="s">
        <v>461</v>
      </c>
      <c r="C18" s="836"/>
      <c r="D18" s="836"/>
      <c r="E18" s="836"/>
      <c r="F18" s="836"/>
      <c r="G18" s="836"/>
      <c r="H18" s="1176">
        <f>'Scdry additional well Plan Rpt'!L108</f>
        <v>1736</v>
      </c>
      <c r="I18" s="978" t="s">
        <v>362</v>
      </c>
      <c r="J18" s="788"/>
      <c r="K18" s="1192" t="str">
        <f t="shared" si="0"/>
        <v/>
      </c>
    </row>
    <row r="19" spans="2:11" x14ac:dyDescent="0.25">
      <c r="B19" s="920" t="s">
        <v>108</v>
      </c>
      <c r="C19" s="836"/>
      <c r="D19" s="836"/>
      <c r="E19" s="836"/>
      <c r="F19" s="836"/>
      <c r="G19" s="836"/>
      <c r="H19" s="1176">
        <f>'Scdry additional well Plan Rpt'!L36</f>
        <v>558</v>
      </c>
      <c r="I19" s="978" t="s">
        <v>361</v>
      </c>
      <c r="J19" s="788"/>
      <c r="K19" s="1192" t="str">
        <f t="shared" si="0"/>
        <v/>
      </c>
    </row>
    <row r="20" spans="2:11" x14ac:dyDescent="0.25">
      <c r="B20" s="920" t="s">
        <v>109</v>
      </c>
      <c r="C20" s="836"/>
      <c r="D20" s="836"/>
      <c r="E20" s="836"/>
      <c r="F20" s="836"/>
      <c r="G20" s="836"/>
      <c r="H20" s="1176">
        <f>'Scdry additional well Plan Rpt'!L51</f>
        <v>958</v>
      </c>
      <c r="I20" s="978" t="s">
        <v>361</v>
      </c>
      <c r="J20" s="788"/>
      <c r="K20" s="1192" t="str">
        <f t="shared" si="0"/>
        <v/>
      </c>
    </row>
    <row r="21" spans="2:11" x14ac:dyDescent="0.25">
      <c r="B21" s="920" t="s">
        <v>893</v>
      </c>
      <c r="C21" s="836"/>
      <c r="D21" s="836"/>
      <c r="E21" s="836"/>
      <c r="F21" s="836"/>
      <c r="G21" s="836"/>
      <c r="H21" s="1176">
        <f>'Scdry additional well Plan Rpt'!L70</f>
        <v>1364</v>
      </c>
      <c r="I21" s="976" t="s">
        <v>415</v>
      </c>
      <c r="J21" s="788"/>
      <c r="K21" s="1192" t="str">
        <f t="shared" si="0"/>
        <v/>
      </c>
    </row>
    <row r="22" spans="2:11" x14ac:dyDescent="0.25">
      <c r="B22" s="920" t="s">
        <v>894</v>
      </c>
      <c r="C22" s="836"/>
      <c r="D22" s="836"/>
      <c r="E22" s="836"/>
      <c r="F22" s="836"/>
      <c r="G22" s="836"/>
      <c r="H22" s="1176">
        <f>'Scdry additional well Plan Rpt'!L89</f>
        <v>1662</v>
      </c>
      <c r="I22" s="976" t="s">
        <v>415</v>
      </c>
      <c r="J22" s="788"/>
      <c r="K22" s="1192" t="str">
        <f t="shared" si="0"/>
        <v/>
      </c>
    </row>
    <row r="23" spans="2:11" x14ac:dyDescent="0.25">
      <c r="B23" s="51" t="s">
        <v>1197</v>
      </c>
      <c r="C23" s="44"/>
      <c r="D23" s="44"/>
      <c r="E23" s="44"/>
      <c r="F23" s="836"/>
      <c r="G23" s="836" t="s">
        <v>1051</v>
      </c>
      <c r="H23" s="1176">
        <f>'Scdry additional well Plan Rpt'!L138</f>
        <v>2278</v>
      </c>
      <c r="I23" s="978" t="s">
        <v>1027</v>
      </c>
      <c r="J23" s="788"/>
      <c r="K23" s="1192" t="str">
        <f t="shared" si="0"/>
        <v/>
      </c>
    </row>
    <row r="24" spans="2:11" x14ac:dyDescent="0.25">
      <c r="B24" s="920" t="s">
        <v>1196</v>
      </c>
      <c r="C24" s="836"/>
      <c r="D24" s="836"/>
      <c r="E24" s="836"/>
      <c r="F24" s="836"/>
      <c r="G24" s="836"/>
      <c r="H24" s="1176">
        <f>'NAMR GWM PLAN RPRT'!L17</f>
        <v>586</v>
      </c>
      <c r="I24" s="978" t="s">
        <v>363</v>
      </c>
      <c r="J24" s="788"/>
      <c r="K24" s="1192" t="str">
        <f t="shared" si="0"/>
        <v/>
      </c>
    </row>
    <row r="25" spans="2:11" x14ac:dyDescent="0.25">
      <c r="B25" s="920" t="s">
        <v>917</v>
      </c>
      <c r="C25" s="836"/>
      <c r="D25" s="836"/>
      <c r="E25" s="836"/>
      <c r="F25" s="836"/>
      <c r="G25" s="836"/>
      <c r="H25" s="1176"/>
      <c r="I25" s="978"/>
      <c r="J25" s="979"/>
      <c r="K25" s="1192"/>
    </row>
    <row r="26" spans="2:11" x14ac:dyDescent="0.25">
      <c r="B26" s="980">
        <v>0</v>
      </c>
      <c r="C26" s="836" t="s">
        <v>531</v>
      </c>
      <c r="D26" s="836"/>
      <c r="E26" s="836"/>
      <c r="F26" s="836"/>
      <c r="G26" s="836"/>
      <c r="H26" s="1176">
        <f>'NAMR GWM PLAN RPRT'!L36</f>
        <v>1384</v>
      </c>
      <c r="I26" s="976" t="s">
        <v>415</v>
      </c>
      <c r="J26" s="788"/>
      <c r="K26" s="1192" t="str">
        <f t="shared" si="0"/>
        <v/>
      </c>
    </row>
    <row r="27" spans="2:11" x14ac:dyDescent="0.25">
      <c r="B27" s="980">
        <v>0</v>
      </c>
      <c r="C27" s="836" t="s">
        <v>406</v>
      </c>
      <c r="D27" s="836"/>
      <c r="E27" s="836"/>
      <c r="F27" s="836"/>
      <c r="G27" s="836"/>
      <c r="H27" s="1176">
        <f>'NAMR GWM PLAN RPRT'!L58</f>
        <v>1662</v>
      </c>
      <c r="I27" s="976" t="s">
        <v>415</v>
      </c>
      <c r="J27" s="788"/>
      <c r="K27" s="1192" t="str">
        <f t="shared" si="0"/>
        <v/>
      </c>
    </row>
    <row r="28" spans="2:11" x14ac:dyDescent="0.25">
      <c r="B28" s="920" t="s">
        <v>754</v>
      </c>
      <c r="C28" s="836"/>
      <c r="D28" s="836"/>
      <c r="E28" s="836"/>
      <c r="F28" s="836"/>
      <c r="G28" s="836"/>
      <c r="H28" s="1189">
        <f>'NAMR GWM PLAN RPRT'!L38</f>
        <v>44</v>
      </c>
      <c r="I28" s="978" t="s">
        <v>436</v>
      </c>
      <c r="J28" s="788"/>
      <c r="K28" s="1192" t="str">
        <f t="shared" si="0"/>
        <v/>
      </c>
    </row>
    <row r="29" spans="2:11" x14ac:dyDescent="0.25">
      <c r="B29" s="920" t="s">
        <v>530</v>
      </c>
      <c r="C29" s="836"/>
      <c r="D29" s="836"/>
      <c r="E29" s="836"/>
      <c r="F29" s="836"/>
      <c r="G29" s="836"/>
      <c r="H29" s="1189">
        <f>'NAMR GWM PLAN RPRT'!L63</f>
        <v>61.599999999999994</v>
      </c>
      <c r="I29" s="978" t="s">
        <v>436</v>
      </c>
      <c r="J29" s="788"/>
      <c r="K29" s="1192" t="str">
        <f t="shared" si="0"/>
        <v/>
      </c>
    </row>
    <row r="30" spans="2:11" x14ac:dyDescent="0.25">
      <c r="B30" s="920"/>
      <c r="C30" s="836"/>
      <c r="D30" s="836"/>
      <c r="E30" s="836"/>
      <c r="F30" s="836"/>
      <c r="G30" s="836"/>
      <c r="H30" s="1176"/>
      <c r="I30" s="978"/>
      <c r="J30" s="981"/>
      <c r="K30" s="1192"/>
    </row>
    <row r="31" spans="2:11" x14ac:dyDescent="0.25">
      <c r="B31" s="920" t="s">
        <v>500</v>
      </c>
      <c r="C31" s="836"/>
      <c r="D31" s="836"/>
      <c r="E31" s="836"/>
      <c r="F31" s="836"/>
      <c r="G31" s="836"/>
      <c r="H31" s="1176">
        <f>'FP PlanReportMEMEField'!L17</f>
        <v>924</v>
      </c>
      <c r="I31" s="976" t="s">
        <v>361</v>
      </c>
      <c r="J31" s="788"/>
      <c r="K31" s="1192" t="str">
        <f t="shared" si="0"/>
        <v/>
      </c>
    </row>
    <row r="32" spans="2:11" x14ac:dyDescent="0.25">
      <c r="B32" s="920" t="s">
        <v>616</v>
      </c>
      <c r="C32" s="836"/>
      <c r="D32" s="836"/>
      <c r="E32" s="836"/>
      <c r="F32" s="836"/>
      <c r="G32" s="836"/>
      <c r="H32" s="1176">
        <f>'FP PlanReportMEMEField'!L80</f>
        <v>1146</v>
      </c>
      <c r="I32" s="976" t="s">
        <v>415</v>
      </c>
      <c r="J32" s="788"/>
      <c r="K32" s="1192" t="str">
        <f t="shared" si="0"/>
        <v/>
      </c>
    </row>
    <row r="33" spans="2:11" x14ac:dyDescent="0.25">
      <c r="B33" s="920" t="s">
        <v>268</v>
      </c>
      <c r="C33" s="836"/>
      <c r="D33" s="836"/>
      <c r="E33" s="836"/>
      <c r="F33" s="836"/>
      <c r="G33" s="836"/>
      <c r="H33" s="1176">
        <f>'FP PlanReportMEMEField'!L99</f>
        <v>1248</v>
      </c>
      <c r="I33" s="976" t="s">
        <v>415</v>
      </c>
      <c r="J33" s="788"/>
      <c r="K33" s="1192" t="str">
        <f t="shared" si="0"/>
        <v/>
      </c>
    </row>
    <row r="34" spans="2:11" x14ac:dyDescent="0.25">
      <c r="B34" s="51" t="s">
        <v>1050</v>
      </c>
      <c r="C34" s="44"/>
      <c r="D34" s="44"/>
      <c r="E34" s="44"/>
      <c r="F34" s="44"/>
      <c r="G34" s="44"/>
      <c r="H34" s="1176">
        <f>'FP PlanReportMEMEField'!L142</f>
        <v>884</v>
      </c>
      <c r="I34" s="976" t="s">
        <v>415</v>
      </c>
      <c r="J34" s="788"/>
      <c r="K34" s="1192" t="str">
        <f t="shared" si="0"/>
        <v/>
      </c>
    </row>
    <row r="35" spans="2:11" x14ac:dyDescent="0.25">
      <c r="B35" s="51" t="s">
        <v>1049</v>
      </c>
      <c r="C35" s="44"/>
      <c r="D35" s="44"/>
      <c r="E35" s="44"/>
      <c r="F35" s="44"/>
      <c r="G35" s="44"/>
      <c r="H35" s="1176">
        <f>'FP PlanReportMEMEField'!L161</f>
        <v>346</v>
      </c>
      <c r="I35" s="978" t="s">
        <v>415</v>
      </c>
      <c r="J35" s="788"/>
      <c r="K35" s="1192" t="str">
        <f t="shared" si="0"/>
        <v/>
      </c>
    </row>
    <row r="36" spans="2:11" hidden="1" x14ac:dyDescent="0.25">
      <c r="B36" s="51"/>
      <c r="C36" s="44"/>
      <c r="D36" s="44"/>
      <c r="E36" s="44"/>
      <c r="F36" s="44"/>
      <c r="G36" s="44"/>
      <c r="H36" s="1176"/>
      <c r="I36" s="978"/>
      <c r="J36"/>
      <c r="K36" s="1192"/>
    </row>
    <row r="37" spans="2:11" hidden="1" x14ac:dyDescent="0.25">
      <c r="B37" s="51"/>
      <c r="C37" s="44"/>
      <c r="D37" s="44"/>
      <c r="E37" s="44"/>
      <c r="F37" s="44"/>
      <c r="G37" s="44"/>
      <c r="H37" s="1176"/>
      <c r="I37" s="978"/>
      <c r="J37"/>
      <c r="K37" s="1192"/>
    </row>
    <row r="38" spans="2:11" hidden="1" x14ac:dyDescent="0.25">
      <c r="B38" s="51"/>
      <c r="C38" s="44"/>
      <c r="D38" s="44"/>
      <c r="E38" s="44"/>
      <c r="F38" s="44"/>
      <c r="G38" s="44"/>
      <c r="H38" s="1176"/>
      <c r="I38" s="978"/>
      <c r="J38"/>
      <c r="K38" s="1192"/>
    </row>
    <row r="39" spans="2:11" hidden="1" x14ac:dyDescent="0.25">
      <c r="B39" s="51"/>
      <c r="C39" s="44"/>
      <c r="D39" s="44"/>
      <c r="E39" s="44"/>
      <c r="F39" s="44"/>
      <c r="G39" s="44"/>
      <c r="H39" s="1176"/>
      <c r="I39" s="978"/>
      <c r="J39"/>
      <c r="K39" s="1192"/>
    </row>
    <row r="40" spans="2:11" hidden="1" x14ac:dyDescent="0.25">
      <c r="B40" s="51"/>
      <c r="C40" s="44"/>
      <c r="D40" s="44"/>
      <c r="E40" s="44"/>
      <c r="F40" s="44"/>
      <c r="G40" s="44"/>
      <c r="H40" s="1176"/>
      <c r="I40" s="978"/>
      <c r="J40"/>
      <c r="K40" s="1192"/>
    </row>
    <row r="41" spans="2:11" hidden="1" x14ac:dyDescent="0.25">
      <c r="B41" s="51"/>
      <c r="C41" s="44"/>
      <c r="D41" s="44"/>
      <c r="E41" s="44"/>
      <c r="F41" s="44"/>
      <c r="G41" s="44"/>
      <c r="H41" s="1176"/>
      <c r="I41" s="978"/>
      <c r="J41"/>
      <c r="K41" s="1192"/>
    </row>
    <row r="42" spans="2:11" hidden="1" x14ac:dyDescent="0.25">
      <c r="B42" s="51"/>
      <c r="C42" s="44"/>
      <c r="D42" s="44"/>
      <c r="E42" s="44"/>
      <c r="F42" s="44"/>
      <c r="G42" s="44"/>
      <c r="H42" s="1176"/>
      <c r="I42" s="978"/>
      <c r="J42"/>
      <c r="K42" s="1192"/>
    </row>
    <row r="43" spans="2:11" hidden="1" x14ac:dyDescent="0.25">
      <c r="B43" s="51"/>
      <c r="C43" s="44"/>
      <c r="D43" s="44"/>
      <c r="E43" s="44"/>
      <c r="F43" s="44"/>
      <c r="G43" s="44"/>
      <c r="H43" s="1176"/>
      <c r="I43" s="978"/>
      <c r="J43"/>
      <c r="K43" s="1192"/>
    </row>
    <row r="44" spans="2:11" hidden="1" x14ac:dyDescent="0.25">
      <c r="B44" s="51"/>
      <c r="C44" s="44"/>
      <c r="D44" s="44"/>
      <c r="E44" s="44"/>
      <c r="F44" s="44"/>
      <c r="G44" s="44"/>
      <c r="H44" s="1176"/>
      <c r="I44" s="978"/>
      <c r="J44"/>
      <c r="K44" s="1192"/>
    </row>
    <row r="45" spans="2:11" hidden="1" x14ac:dyDescent="0.25">
      <c r="B45" s="51"/>
      <c r="C45" s="44"/>
      <c r="D45" s="44"/>
      <c r="E45" s="44"/>
      <c r="F45" s="44"/>
      <c r="G45" s="44"/>
      <c r="H45" s="1176"/>
      <c r="I45" s="978"/>
      <c r="J45"/>
      <c r="K45" s="1192"/>
    </row>
    <row r="46" spans="2:11" x14ac:dyDescent="0.25">
      <c r="B46" s="920"/>
      <c r="C46" s="836"/>
      <c r="D46" s="836"/>
      <c r="E46" s="836"/>
      <c r="F46" s="836"/>
      <c r="G46" s="836"/>
      <c r="H46" s="1176"/>
      <c r="I46" s="978"/>
      <c r="J46" s="981"/>
      <c r="K46" s="1192"/>
    </row>
    <row r="47" spans="2:11" x14ac:dyDescent="0.25">
      <c r="B47" s="920" t="s">
        <v>970</v>
      </c>
      <c r="C47" s="836"/>
      <c r="D47" s="836"/>
      <c r="E47" s="836"/>
      <c r="F47" s="836"/>
      <c r="G47" s="836"/>
      <c r="H47" s="1190"/>
      <c r="I47" s="976"/>
      <c r="J47" s="865"/>
      <c r="K47" s="1192"/>
    </row>
    <row r="48" spans="2:11" x14ac:dyDescent="0.25">
      <c r="B48" s="980">
        <v>0</v>
      </c>
      <c r="C48" s="836" t="s">
        <v>531</v>
      </c>
      <c r="D48" s="836"/>
      <c r="E48" s="836"/>
      <c r="F48" s="836"/>
      <c r="G48" s="836"/>
      <c r="H48" s="1176">
        <f>ARBCA!L17</f>
        <v>4656</v>
      </c>
      <c r="I48" s="976" t="s">
        <v>416</v>
      </c>
      <c r="J48" s="788"/>
      <c r="K48" s="1192" t="str">
        <f t="shared" si="0"/>
        <v/>
      </c>
    </row>
    <row r="49" spans="2:11" x14ac:dyDescent="0.25">
      <c r="B49" s="980">
        <v>0</v>
      </c>
      <c r="C49" s="836" t="s">
        <v>406</v>
      </c>
      <c r="D49" s="836"/>
      <c r="E49" s="836"/>
      <c r="F49" s="836"/>
      <c r="G49" s="836"/>
      <c r="H49" s="1176">
        <f>ARBCA!L35</f>
        <v>4934</v>
      </c>
      <c r="I49" s="976" t="s">
        <v>416</v>
      </c>
      <c r="J49" s="788"/>
      <c r="K49" s="1192" t="str">
        <f t="shared" si="0"/>
        <v/>
      </c>
    </row>
    <row r="50" spans="2:11" x14ac:dyDescent="0.25">
      <c r="B50" s="920" t="s">
        <v>971</v>
      </c>
      <c r="C50" s="836"/>
      <c r="D50" s="836"/>
      <c r="E50" s="836"/>
      <c r="F50" s="836"/>
      <c r="G50" s="836"/>
      <c r="H50" s="1176"/>
      <c r="I50" s="978"/>
      <c r="J50" s="979"/>
      <c r="K50" s="1192"/>
    </row>
    <row r="51" spans="2:11" x14ac:dyDescent="0.25">
      <c r="B51" s="980">
        <v>0</v>
      </c>
      <c r="C51" s="836" t="s">
        <v>531</v>
      </c>
      <c r="D51" s="836"/>
      <c r="E51" s="836"/>
      <c r="F51" s="836"/>
      <c r="G51" s="836"/>
      <c r="H51" s="1176">
        <f>ARBCA!L53</f>
        <v>4656</v>
      </c>
      <c r="I51" s="976" t="s">
        <v>416</v>
      </c>
      <c r="J51" s="788"/>
      <c r="K51" s="1192" t="str">
        <f t="shared" si="0"/>
        <v/>
      </c>
    </row>
    <row r="52" spans="2:11" x14ac:dyDescent="0.25">
      <c r="B52" s="980">
        <v>0</v>
      </c>
      <c r="C52" s="836" t="s">
        <v>406</v>
      </c>
      <c r="D52" s="836"/>
      <c r="E52" s="836"/>
      <c r="F52" s="836"/>
      <c r="G52" s="836"/>
      <c r="H52" s="1176">
        <f>ARBCA!L78</f>
        <v>4934</v>
      </c>
      <c r="I52" s="976" t="s">
        <v>416</v>
      </c>
      <c r="J52" s="788"/>
      <c r="K52" s="1192" t="str">
        <f t="shared" si="0"/>
        <v/>
      </c>
    </row>
    <row r="53" spans="2:11" x14ac:dyDescent="0.25">
      <c r="B53" s="51" t="s">
        <v>1275</v>
      </c>
      <c r="C53" s="836"/>
      <c r="D53" s="836"/>
      <c r="E53" s="836"/>
      <c r="F53" s="836"/>
      <c r="G53" s="836"/>
      <c r="H53" s="1176">
        <f>ARBCA!L124</f>
        <v>600</v>
      </c>
      <c r="I53" s="1288" t="s">
        <v>1241</v>
      </c>
      <c r="J53" s="788"/>
      <c r="K53" s="1192" t="str">
        <f t="shared" si="0"/>
        <v/>
      </c>
    </row>
    <row r="54" spans="2:11" x14ac:dyDescent="0.25">
      <c r="B54" s="51" t="s">
        <v>1258</v>
      </c>
      <c r="C54" s="836"/>
      <c r="D54" s="836"/>
      <c r="E54" s="836"/>
      <c r="F54" s="836"/>
      <c r="G54" s="836"/>
      <c r="H54" s="1176">
        <f>ARBCA!L142</f>
        <v>944</v>
      </c>
      <c r="I54" s="1288" t="s">
        <v>1241</v>
      </c>
      <c r="J54" s="788"/>
      <c r="K54" s="1192" t="str">
        <f t="shared" si="0"/>
        <v/>
      </c>
    </row>
    <row r="55" spans="2:11" hidden="1" x14ac:dyDescent="0.25">
      <c r="B55" s="1287" t="s">
        <v>1240</v>
      </c>
      <c r="C55" s="836"/>
      <c r="D55" s="836"/>
      <c r="E55" s="836"/>
      <c r="F55" s="836"/>
      <c r="G55" s="836"/>
      <c r="H55" s="1176">
        <f>(ARBCA!L142*0.25)</f>
        <v>236</v>
      </c>
      <c r="I55" s="978" t="s">
        <v>436</v>
      </c>
      <c r="J55" s="788"/>
      <c r="K55" s="1192" t="str">
        <f t="shared" si="0"/>
        <v/>
      </c>
    </row>
    <row r="56" spans="2:11" x14ac:dyDescent="0.25">
      <c r="B56" s="51" t="s">
        <v>1276</v>
      </c>
      <c r="C56" s="44"/>
      <c r="D56" s="44"/>
      <c r="E56" s="44"/>
      <c r="F56" s="44"/>
      <c r="G56" s="44"/>
      <c r="H56" s="1189">
        <f>ARBCA!L81</f>
        <v>44</v>
      </c>
      <c r="I56" s="978" t="s">
        <v>436</v>
      </c>
      <c r="J56" s="788"/>
      <c r="K56" s="1192" t="str">
        <f t="shared" si="0"/>
        <v/>
      </c>
    </row>
    <row r="57" spans="2:11" x14ac:dyDescent="0.25">
      <c r="B57" s="51" t="s">
        <v>1273</v>
      </c>
      <c r="C57" s="44"/>
      <c r="D57" s="44"/>
      <c r="E57" s="44"/>
      <c r="F57" s="44"/>
      <c r="G57" s="44"/>
      <c r="H57" s="1189">
        <f>ARBCA!L84</f>
        <v>52.8</v>
      </c>
      <c r="I57" s="978" t="s">
        <v>436</v>
      </c>
      <c r="J57" s="788"/>
      <c r="K57" s="1192" t="str">
        <f t="shared" si="0"/>
        <v/>
      </c>
    </row>
    <row r="58" spans="2:11" x14ac:dyDescent="0.25">
      <c r="B58" s="920" t="s">
        <v>1274</v>
      </c>
      <c r="C58" s="836"/>
      <c r="D58" s="836"/>
      <c r="E58" s="836"/>
      <c r="F58" s="836"/>
      <c r="G58" s="836"/>
      <c r="H58" s="1176">
        <f>ARBCA!L87</f>
        <v>2670</v>
      </c>
      <c r="I58" s="976" t="s">
        <v>416</v>
      </c>
      <c r="J58" s="788"/>
      <c r="K58" s="1192" t="str">
        <f t="shared" si="0"/>
        <v/>
      </c>
    </row>
    <row r="59" spans="2:11" x14ac:dyDescent="0.25">
      <c r="B59" s="920" t="s">
        <v>201</v>
      </c>
      <c r="C59" s="836"/>
      <c r="D59" s="836"/>
      <c r="E59" s="836"/>
      <c r="F59" s="836"/>
      <c r="G59" s="836"/>
      <c r="H59" s="1176">
        <f>ARBCA!L106</f>
        <v>4036</v>
      </c>
      <c r="I59" s="978" t="s">
        <v>416</v>
      </c>
      <c r="J59" s="788"/>
      <c r="K59" s="1192" t="str">
        <f t="shared" si="0"/>
        <v/>
      </c>
    </row>
    <row r="60" spans="2:11" x14ac:dyDescent="0.25">
      <c r="B60" s="920"/>
      <c r="C60" s="836"/>
      <c r="D60" s="836"/>
      <c r="E60" s="836"/>
      <c r="F60" s="836"/>
      <c r="G60" s="836"/>
      <c r="H60" s="1176"/>
      <c r="I60" s="978"/>
      <c r="J60" s="979"/>
      <c r="K60" s="1192"/>
    </row>
    <row r="61" spans="2:11" x14ac:dyDescent="0.25">
      <c r="B61" s="920" t="s">
        <v>1198</v>
      </c>
      <c r="C61" s="836"/>
      <c r="D61" s="836"/>
      <c r="E61" s="836"/>
      <c r="F61" s="836"/>
      <c r="G61" s="836"/>
      <c r="H61" s="1176">
        <f>'Corrective Action Plans'!L17</f>
        <v>3988</v>
      </c>
      <c r="I61" s="976" t="s">
        <v>363</v>
      </c>
      <c r="J61" s="788"/>
      <c r="K61" s="1192" t="str">
        <f t="shared" si="0"/>
        <v/>
      </c>
    </row>
    <row r="62" spans="2:11" x14ac:dyDescent="0.25">
      <c r="B62" s="920" t="s">
        <v>755</v>
      </c>
      <c r="C62" s="836"/>
      <c r="D62" s="836"/>
      <c r="E62" s="836"/>
      <c r="F62" s="836"/>
      <c r="G62" s="836"/>
      <c r="H62" s="1176">
        <f>'Corrective Action Plans'!L35</f>
        <v>1850</v>
      </c>
      <c r="I62" s="976" t="s">
        <v>615</v>
      </c>
      <c r="J62" s="788"/>
      <c r="K62" s="1192" t="str">
        <f t="shared" si="0"/>
        <v/>
      </c>
    </row>
    <row r="63" spans="2:11" x14ac:dyDescent="0.25">
      <c r="B63" s="920" t="s">
        <v>546</v>
      </c>
      <c r="C63" s="836"/>
      <c r="D63" s="836"/>
      <c r="E63" s="836"/>
      <c r="F63" s="836"/>
      <c r="G63" s="836"/>
      <c r="H63" s="1176">
        <f>'Corrective Action Plans'!L53</f>
        <v>1972</v>
      </c>
      <c r="I63" s="976" t="s">
        <v>615</v>
      </c>
      <c r="J63" s="788"/>
      <c r="K63" s="1192" t="str">
        <f t="shared" si="0"/>
        <v/>
      </c>
    </row>
    <row r="64" spans="2:11" x14ac:dyDescent="0.25">
      <c r="B64" s="920" t="s">
        <v>547</v>
      </c>
      <c r="C64" s="836"/>
      <c r="D64" s="836"/>
      <c r="E64" s="836"/>
      <c r="F64" s="836"/>
      <c r="G64" s="836"/>
      <c r="H64" s="1176">
        <f>'Corrective Action Plans'!L78</f>
        <v>1930</v>
      </c>
      <c r="I64" s="976" t="s">
        <v>615</v>
      </c>
      <c r="J64" s="788"/>
      <c r="K64" s="1192" t="str">
        <f t="shared" si="0"/>
        <v/>
      </c>
    </row>
    <row r="65" spans="2:11" x14ac:dyDescent="0.25">
      <c r="B65" s="51" t="s">
        <v>1144</v>
      </c>
      <c r="C65" s="44"/>
      <c r="D65" s="44"/>
      <c r="E65" s="836"/>
      <c r="F65" s="836"/>
      <c r="G65" s="836"/>
      <c r="H65" s="1176">
        <f>'Corrective Action Plans'!L96</f>
        <v>5442</v>
      </c>
      <c r="I65" s="976" t="s">
        <v>615</v>
      </c>
      <c r="J65" s="1298"/>
      <c r="K65" s="1194" t="str">
        <f t="shared" si="0"/>
        <v/>
      </c>
    </row>
    <row r="66" spans="2:11" ht="13.8" thickBot="1" x14ac:dyDescent="0.3">
      <c r="B66" s="924" t="s">
        <v>797</v>
      </c>
      <c r="C66" s="925"/>
      <c r="D66" s="925"/>
      <c r="E66" s="925"/>
      <c r="F66" s="925"/>
      <c r="G66" s="925"/>
      <c r="H66" s="1191">
        <f>'Corrective Action Plans'!L114</f>
        <v>8144</v>
      </c>
      <c r="I66" s="1371" t="s">
        <v>615</v>
      </c>
      <c r="J66" s="848"/>
      <c r="K66" s="1198" t="str">
        <f t="shared" si="0"/>
        <v/>
      </c>
    </row>
    <row r="67" spans="2:11" x14ac:dyDescent="0.25">
      <c r="B67" s="2041" t="s">
        <v>1199</v>
      </c>
      <c r="C67" s="2042"/>
      <c r="D67" s="2042"/>
      <c r="E67" s="2042"/>
      <c r="F67" s="2042"/>
      <c r="G67" s="2042"/>
      <c r="H67" s="1299">
        <f>'Corrective Action Plans'!L139</f>
        <v>7186</v>
      </c>
      <c r="I67" s="1370" t="s">
        <v>615</v>
      </c>
      <c r="J67" s="1300"/>
      <c r="K67" s="1197" t="str">
        <f t="shared" si="0"/>
        <v/>
      </c>
    </row>
    <row r="68" spans="2:11" x14ac:dyDescent="0.25">
      <c r="B68" s="920" t="s">
        <v>590</v>
      </c>
      <c r="C68" s="836"/>
      <c r="D68" s="836"/>
      <c r="E68" s="836"/>
      <c r="F68" s="836"/>
      <c r="G68" s="836"/>
      <c r="H68" s="1176">
        <f>'Corrective Action Plans'!L157</f>
        <v>6626</v>
      </c>
      <c r="I68" s="1297" t="s">
        <v>615</v>
      </c>
      <c r="J68" s="1298"/>
      <c r="K68" s="1192" t="str">
        <f t="shared" si="0"/>
        <v/>
      </c>
    </row>
    <row r="69" spans="2:11" x14ac:dyDescent="0.25">
      <c r="B69" s="920" t="s">
        <v>924</v>
      </c>
      <c r="C69" s="836"/>
      <c r="D69" s="836"/>
      <c r="E69" s="836"/>
      <c r="F69" s="836"/>
      <c r="G69" s="836"/>
      <c r="H69" s="1470" t="str">
        <f>IF('Form "F" Details'!K68="","",'Form "F" Details'!K68)</f>
        <v/>
      </c>
      <c r="I69" s="982" t="s">
        <v>615</v>
      </c>
      <c r="J69" s="1182" t="str">
        <f>IF(H69="","",1)</f>
        <v/>
      </c>
      <c r="K69" s="1194" t="str">
        <f>IF(H69=0,"",H69)</f>
        <v/>
      </c>
    </row>
    <row r="70" spans="2:11" x14ac:dyDescent="0.25">
      <c r="B70" s="920" t="s">
        <v>919</v>
      </c>
      <c r="C70" s="836"/>
      <c r="D70" s="836"/>
      <c r="E70" s="836"/>
      <c r="F70" s="836"/>
      <c r="G70" s="836"/>
      <c r="H70" s="1176">
        <f>'Corrective Action Reports Eng'!L17</f>
        <v>2416</v>
      </c>
      <c r="I70" s="976" t="s">
        <v>415</v>
      </c>
      <c r="J70" s="849"/>
      <c r="K70" s="1192" t="str">
        <f t="shared" si="0"/>
        <v/>
      </c>
    </row>
    <row r="71" spans="2:11" x14ac:dyDescent="0.25">
      <c r="B71" s="51" t="s">
        <v>1035</v>
      </c>
      <c r="C71" s="44"/>
      <c r="D71" s="44"/>
      <c r="E71" s="44"/>
      <c r="F71" s="836"/>
      <c r="G71" s="836"/>
      <c r="H71" s="1176">
        <f>'Corrective Action Reports Eng'!L35</f>
        <v>3076</v>
      </c>
      <c r="I71" s="976" t="s">
        <v>415</v>
      </c>
      <c r="J71" s="788"/>
      <c r="K71" s="1192" t="str">
        <f t="shared" si="0"/>
        <v/>
      </c>
    </row>
    <row r="72" spans="2:11" x14ac:dyDescent="0.25">
      <c r="B72" s="920" t="s">
        <v>920</v>
      </c>
      <c r="C72" s="836"/>
      <c r="D72" s="836"/>
      <c r="E72" s="836"/>
      <c r="F72" s="836"/>
      <c r="G72" s="836"/>
      <c r="H72" s="1176">
        <f>'Corrective Action Reports Eng'!L78</f>
        <v>8848</v>
      </c>
      <c r="I72" s="976" t="s">
        <v>415</v>
      </c>
      <c r="J72" s="788"/>
      <c r="K72" s="1192" t="str">
        <f t="shared" si="0"/>
        <v/>
      </c>
    </row>
    <row r="73" spans="2:11" x14ac:dyDescent="0.25">
      <c r="B73" s="920" t="s">
        <v>745</v>
      </c>
      <c r="C73" s="836"/>
      <c r="D73" s="836"/>
      <c r="E73" s="836"/>
      <c r="F73" s="836"/>
      <c r="G73" s="836"/>
      <c r="H73" s="1176"/>
      <c r="I73" s="978"/>
      <c r="J73" s="981"/>
      <c r="K73" s="1192"/>
    </row>
    <row r="74" spans="2:11" x14ac:dyDescent="0.25">
      <c r="B74" s="980">
        <v>0</v>
      </c>
      <c r="C74" s="836" t="s">
        <v>531</v>
      </c>
      <c r="D74" s="836"/>
      <c r="E74" s="836"/>
      <c r="F74" s="836"/>
      <c r="G74" s="836"/>
      <c r="H74" s="1176">
        <f>'Corrective Action Reports Eng'!L96</f>
        <v>5774</v>
      </c>
      <c r="I74" s="976" t="s">
        <v>415</v>
      </c>
      <c r="J74" s="788"/>
      <c r="K74" s="1192" t="str">
        <f t="shared" si="0"/>
        <v/>
      </c>
    </row>
    <row r="75" spans="2:11" x14ac:dyDescent="0.25">
      <c r="B75" s="980">
        <v>0</v>
      </c>
      <c r="C75" s="836" t="s">
        <v>406</v>
      </c>
      <c r="D75" s="836"/>
      <c r="E75" s="836"/>
      <c r="F75" s="836"/>
      <c r="G75" s="836"/>
      <c r="H75" s="1176">
        <f>'Corrective Action Reports Eng'!L114</f>
        <v>6052</v>
      </c>
      <c r="I75" s="976" t="s">
        <v>415</v>
      </c>
      <c r="J75" s="788"/>
      <c r="K75" s="1192" t="str">
        <f t="shared" si="0"/>
        <v/>
      </c>
    </row>
    <row r="76" spans="2:11" x14ac:dyDescent="0.25">
      <c r="B76" s="920" t="s">
        <v>923</v>
      </c>
      <c r="C76" s="836"/>
      <c r="D76" s="836"/>
      <c r="E76" s="836"/>
      <c r="F76" s="836"/>
      <c r="G76" s="836"/>
      <c r="H76" s="1176"/>
      <c r="I76" s="978"/>
      <c r="J76" s="981"/>
      <c r="K76" s="1192"/>
    </row>
    <row r="77" spans="2:11" x14ac:dyDescent="0.25">
      <c r="B77" s="980">
        <v>0</v>
      </c>
      <c r="C77" s="836" t="s">
        <v>531</v>
      </c>
      <c r="D77" s="836"/>
      <c r="E77" s="836"/>
      <c r="F77" s="836"/>
      <c r="G77" s="836"/>
      <c r="H77" s="1176">
        <f>'Corrective Action Reports Eng'!L132</f>
        <v>5122</v>
      </c>
      <c r="I77" s="976" t="s">
        <v>415</v>
      </c>
      <c r="J77" s="788"/>
      <c r="K77" s="1192" t="str">
        <f t="shared" si="0"/>
        <v/>
      </c>
    </row>
    <row r="78" spans="2:11" x14ac:dyDescent="0.25">
      <c r="B78" s="980">
        <v>0</v>
      </c>
      <c r="C78" s="836" t="s">
        <v>406</v>
      </c>
      <c r="D78" s="836"/>
      <c r="E78" s="836"/>
      <c r="F78" s="836"/>
      <c r="G78" s="836"/>
      <c r="H78" s="1176">
        <f>'Corrective Action Reports Eng'!L150</f>
        <v>5400</v>
      </c>
      <c r="I78" s="976" t="s">
        <v>415</v>
      </c>
      <c r="J78" s="788"/>
      <c r="K78" s="1192" t="str">
        <f t="shared" si="0"/>
        <v/>
      </c>
    </row>
    <row r="79" spans="2:11" x14ac:dyDescent="0.25">
      <c r="B79" s="920" t="s">
        <v>532</v>
      </c>
      <c r="C79" s="836"/>
      <c r="D79" s="836"/>
      <c r="E79" s="836"/>
      <c r="F79" s="836"/>
      <c r="G79" s="836"/>
      <c r="H79" s="1189">
        <f>'Corrective Action Reports Eng'!L152</f>
        <v>44</v>
      </c>
      <c r="I79" s="976" t="s">
        <v>436</v>
      </c>
      <c r="J79" s="788"/>
      <c r="K79" s="1192" t="str">
        <f t="shared" si="0"/>
        <v/>
      </c>
    </row>
    <row r="80" spans="2:11" x14ac:dyDescent="0.25">
      <c r="B80" s="920" t="s">
        <v>471</v>
      </c>
      <c r="C80" s="836"/>
      <c r="D80" s="836"/>
      <c r="E80" s="836"/>
      <c r="F80" s="836"/>
      <c r="G80" s="836"/>
      <c r="H80" s="1189">
        <f>'Corrective Action Reports Eng'!L155</f>
        <v>52.8</v>
      </c>
      <c r="I80" s="976" t="s">
        <v>436</v>
      </c>
      <c r="J80" s="788"/>
      <c r="K80" s="1192" t="str">
        <f t="shared" si="0"/>
        <v/>
      </c>
    </row>
    <row r="81" spans="2:11" hidden="1" x14ac:dyDescent="0.25">
      <c r="B81" s="920"/>
      <c r="C81" s="836"/>
      <c r="D81" s="836"/>
      <c r="E81" s="836"/>
      <c r="F81" s="836"/>
      <c r="G81" s="836"/>
      <c r="H81" s="1189"/>
      <c r="I81" s="976"/>
      <c r="J81"/>
      <c r="K81" s="1192"/>
    </row>
    <row r="82" spans="2:11" hidden="1" x14ac:dyDescent="0.25">
      <c r="B82" s="920"/>
      <c r="C82" s="836"/>
      <c r="D82" s="836"/>
      <c r="E82" s="836"/>
      <c r="F82" s="836"/>
      <c r="G82" s="836"/>
      <c r="H82" s="1189"/>
      <c r="I82" s="976"/>
      <c r="J82"/>
      <c r="K82" s="1192"/>
    </row>
    <row r="83" spans="2:11" hidden="1" x14ac:dyDescent="0.25">
      <c r="B83" s="920"/>
      <c r="C83" s="836"/>
      <c r="D83" s="836"/>
      <c r="E83" s="836"/>
      <c r="F83" s="836"/>
      <c r="G83" s="836"/>
      <c r="H83" s="1189"/>
      <c r="I83" s="976"/>
      <c r="J83"/>
      <c r="K83" s="1192"/>
    </row>
    <row r="84" spans="2:11" hidden="1" x14ac:dyDescent="0.25">
      <c r="B84" s="920"/>
      <c r="C84" s="836"/>
      <c r="D84" s="836"/>
      <c r="E84" s="836"/>
      <c r="F84" s="836"/>
      <c r="G84" s="836"/>
      <c r="H84" s="1189"/>
      <c r="I84" s="976"/>
      <c r="J84"/>
      <c r="K84" s="1192"/>
    </row>
    <row r="85" spans="2:11" hidden="1" x14ac:dyDescent="0.25">
      <c r="B85" s="920"/>
      <c r="C85" s="836"/>
      <c r="D85" s="836"/>
      <c r="E85" s="836"/>
      <c r="F85" s="836"/>
      <c r="G85" s="836"/>
      <c r="H85" s="1189"/>
      <c r="I85" s="976"/>
      <c r="J85"/>
      <c r="K85" s="1192"/>
    </row>
    <row r="86" spans="2:11" hidden="1" x14ac:dyDescent="0.25">
      <c r="B86" s="920"/>
      <c r="C86" s="836"/>
      <c r="D86" s="836"/>
      <c r="E86" s="836"/>
      <c r="F86" s="836"/>
      <c r="G86" s="836"/>
      <c r="H86" s="1189"/>
      <c r="I86" s="976"/>
      <c r="J86"/>
      <c r="K86" s="1192"/>
    </row>
    <row r="87" spans="2:11" hidden="1" x14ac:dyDescent="0.25">
      <c r="B87" s="920"/>
      <c r="C87" s="836"/>
      <c r="D87" s="836"/>
      <c r="E87" s="836"/>
      <c r="F87" s="836"/>
      <c r="G87" s="836"/>
      <c r="H87" s="1189"/>
      <c r="I87" s="976"/>
      <c r="J87"/>
      <c r="K87" s="1192"/>
    </row>
    <row r="88" spans="2:11" hidden="1" x14ac:dyDescent="0.25">
      <c r="B88" s="920"/>
      <c r="C88" s="836"/>
      <c r="D88" s="836"/>
      <c r="E88" s="836"/>
      <c r="F88" s="836"/>
      <c r="G88" s="836"/>
      <c r="H88" s="1189"/>
      <c r="I88" s="976"/>
      <c r="J88"/>
      <c r="K88" s="1192"/>
    </row>
    <row r="89" spans="2:11" x14ac:dyDescent="0.25">
      <c r="B89" s="920"/>
      <c r="C89" s="836"/>
      <c r="D89" s="836"/>
      <c r="E89" s="836"/>
      <c r="F89" s="836"/>
      <c r="G89" s="836"/>
      <c r="H89" s="1189"/>
      <c r="I89" s="976"/>
      <c r="J89"/>
      <c r="K89" s="1192"/>
    </row>
    <row r="90" spans="2:11" x14ac:dyDescent="0.25">
      <c r="B90" s="920" t="s">
        <v>74</v>
      </c>
      <c r="C90" s="836"/>
      <c r="D90" s="836"/>
      <c r="E90" s="836"/>
      <c r="F90" s="836"/>
      <c r="G90" s="44"/>
      <c r="H90" s="1427">
        <f>'MISC Plans Reports'!L17</f>
        <v>668</v>
      </c>
      <c r="I90" s="978" t="s">
        <v>361</v>
      </c>
      <c r="J90" s="788"/>
      <c r="K90" s="1192" t="str">
        <f t="shared" ref="K90:K111" si="1">IF(J90&lt;1,"",(H90*J90))</f>
        <v/>
      </c>
    </row>
    <row r="91" spans="2:11" x14ac:dyDescent="0.25">
      <c r="B91" s="920" t="s">
        <v>75</v>
      </c>
      <c r="C91" s="836"/>
      <c r="D91" s="836"/>
      <c r="E91" s="836"/>
      <c r="F91" s="836"/>
      <c r="G91" s="836"/>
      <c r="H91" s="1176">
        <f>'MISC Plans Reports'!L35</f>
        <v>1072</v>
      </c>
      <c r="I91" s="976" t="s">
        <v>415</v>
      </c>
      <c r="J91" s="788"/>
      <c r="K91" s="1192" t="str">
        <f t="shared" si="1"/>
        <v/>
      </c>
    </row>
    <row r="92" spans="2:11" x14ac:dyDescent="0.25">
      <c r="B92" s="920" t="s">
        <v>64</v>
      </c>
      <c r="C92" s="836"/>
      <c r="D92" s="836"/>
      <c r="E92" s="836"/>
      <c r="F92" s="836"/>
      <c r="G92" s="836"/>
      <c r="H92" s="1176">
        <f>'Aquifer Pilot Pl Rpt Fld'!L53</f>
        <v>1250</v>
      </c>
      <c r="I92" s="978" t="s">
        <v>361</v>
      </c>
      <c r="J92" s="788"/>
      <c r="K92" s="1192" t="str">
        <f t="shared" si="1"/>
        <v/>
      </c>
    </row>
    <row r="93" spans="2:11" x14ac:dyDescent="0.25">
      <c r="B93" s="920" t="s">
        <v>140</v>
      </c>
      <c r="C93" s="836"/>
      <c r="D93" s="836"/>
      <c r="E93" s="836"/>
      <c r="F93" s="836"/>
      <c r="G93" s="836"/>
      <c r="H93" s="1176">
        <f>'Aquifer Pilot Pl Rpt Fld'!L71</f>
        <v>1964</v>
      </c>
      <c r="I93" s="976" t="s">
        <v>415</v>
      </c>
      <c r="J93" s="788"/>
      <c r="K93" s="1192" t="str">
        <f t="shared" si="1"/>
        <v/>
      </c>
    </row>
    <row r="94" spans="2:11" x14ac:dyDescent="0.25">
      <c r="B94" s="920" t="s">
        <v>65</v>
      </c>
      <c r="C94" s="836"/>
      <c r="D94" s="836"/>
      <c r="E94" s="836"/>
      <c r="F94" s="836"/>
      <c r="G94" s="836"/>
      <c r="H94" s="1176">
        <f>'Aquifer Pilot Pl Rpt Fld'!L89</f>
        <v>1250</v>
      </c>
      <c r="I94" s="978" t="s">
        <v>361</v>
      </c>
      <c r="J94" s="788"/>
      <c r="K94" s="1192" t="str">
        <f t="shared" si="1"/>
        <v/>
      </c>
    </row>
    <row r="95" spans="2:11" x14ac:dyDescent="0.25">
      <c r="B95" s="920" t="s">
        <v>145</v>
      </c>
      <c r="C95" s="836"/>
      <c r="D95" s="836"/>
      <c r="E95" s="836"/>
      <c r="F95" s="836"/>
      <c r="G95" s="836"/>
      <c r="H95" s="1176">
        <f>'Aquifer Pilot Pl Rpt Fld'!L107</f>
        <v>1964</v>
      </c>
      <c r="I95" s="978" t="s">
        <v>415</v>
      </c>
      <c r="J95" s="788"/>
      <c r="K95" s="1192" t="str">
        <f t="shared" si="1"/>
        <v/>
      </c>
    </row>
    <row r="96" spans="2:11" x14ac:dyDescent="0.25">
      <c r="B96" s="920" t="s">
        <v>1277</v>
      </c>
      <c r="C96" s="836"/>
      <c r="D96" s="836"/>
      <c r="E96" s="836"/>
      <c r="F96" s="836"/>
      <c r="G96" s="836"/>
      <c r="H96" s="1176">
        <f>'Aquifer Pilot Pl Rpt Fld'!L125</f>
        <v>1250</v>
      </c>
      <c r="I96" s="978" t="s">
        <v>361</v>
      </c>
      <c r="J96" s="788"/>
      <c r="K96" s="1192" t="str">
        <f t="shared" si="1"/>
        <v/>
      </c>
    </row>
    <row r="97" spans="2:11" x14ac:dyDescent="0.25">
      <c r="B97" s="920" t="s">
        <v>1278</v>
      </c>
      <c r="C97" s="836"/>
      <c r="D97" s="836"/>
      <c r="E97" s="836"/>
      <c r="F97" s="836"/>
      <c r="G97" s="836"/>
      <c r="H97" s="1176">
        <f>'Aquifer Pilot Pl Rpt Fld'!L143</f>
        <v>2168</v>
      </c>
      <c r="I97" s="978" t="s">
        <v>415</v>
      </c>
      <c r="J97" s="788"/>
      <c r="K97" s="1192" t="str">
        <f t="shared" si="1"/>
        <v/>
      </c>
    </row>
    <row r="98" spans="2:11" x14ac:dyDescent="0.25">
      <c r="B98" s="920" t="s">
        <v>585</v>
      </c>
      <c r="C98" s="836"/>
      <c r="D98" s="836"/>
      <c r="E98" s="836"/>
      <c r="F98" s="836"/>
      <c r="G98" s="836"/>
      <c r="H98" s="1176">
        <f>'Aquifer Pilot Pl Rpt Fld'!L17</f>
        <v>424</v>
      </c>
      <c r="I98" s="976" t="s">
        <v>361</v>
      </c>
      <c r="J98" s="788"/>
      <c r="K98" s="1192" t="str">
        <f t="shared" si="1"/>
        <v/>
      </c>
    </row>
    <row r="99" spans="2:11" x14ac:dyDescent="0.25">
      <c r="B99" s="920" t="s">
        <v>586</v>
      </c>
      <c r="C99" s="836"/>
      <c r="D99" s="836"/>
      <c r="E99" s="836"/>
      <c r="F99" s="836"/>
      <c r="G99" s="836"/>
      <c r="H99" s="1176">
        <f>'Aquifer Pilot Pl Rpt Fld'!L35</f>
        <v>1628</v>
      </c>
      <c r="I99" s="976" t="s">
        <v>415</v>
      </c>
      <c r="J99" s="788"/>
      <c r="K99" s="1192" t="str">
        <f t="shared" si="1"/>
        <v/>
      </c>
    </row>
    <row r="100" spans="2:11" x14ac:dyDescent="0.25">
      <c r="B100" s="920" t="s">
        <v>922</v>
      </c>
      <c r="C100" s="836"/>
      <c r="D100" s="836"/>
      <c r="E100" s="836"/>
      <c r="F100" s="836"/>
      <c r="G100" s="836"/>
      <c r="H100" s="1176">
        <f>'Corrective Action Reports Eng'!L53</f>
        <v>1538</v>
      </c>
      <c r="I100" s="978" t="s">
        <v>756</v>
      </c>
      <c r="J100" s="788"/>
      <c r="K100" s="1192" t="str">
        <f t="shared" si="1"/>
        <v/>
      </c>
    </row>
    <row r="101" spans="2:11" x14ac:dyDescent="0.25">
      <c r="B101" s="920" t="s">
        <v>318</v>
      </c>
      <c r="C101" s="836"/>
      <c r="D101" s="836"/>
      <c r="E101" s="836"/>
      <c r="F101" s="836"/>
      <c r="G101" s="836"/>
      <c r="H101" s="1176">
        <f>'MW Abandon Plan Report Field'!L17</f>
        <v>516</v>
      </c>
      <c r="I101" s="978" t="s">
        <v>361</v>
      </c>
      <c r="J101" s="788"/>
      <c r="K101" s="1192" t="str">
        <f t="shared" si="1"/>
        <v/>
      </c>
    </row>
    <row r="102" spans="2:11" x14ac:dyDescent="0.25">
      <c r="B102" s="920" t="s">
        <v>319</v>
      </c>
      <c r="C102" s="836"/>
      <c r="D102" s="836"/>
      <c r="E102" s="836"/>
      <c r="F102" s="836"/>
      <c r="G102" s="836"/>
      <c r="H102" s="1176">
        <f>'MW Abandon Plan Report Field'!L35</f>
        <v>1146</v>
      </c>
      <c r="I102" s="976" t="s">
        <v>415</v>
      </c>
      <c r="J102" s="788"/>
      <c r="K102" s="1192" t="str">
        <f t="shared" si="1"/>
        <v/>
      </c>
    </row>
    <row r="103" spans="2:11" x14ac:dyDescent="0.25">
      <c r="B103" s="920" t="s">
        <v>352</v>
      </c>
      <c r="C103" s="836"/>
      <c r="D103" s="836"/>
      <c r="E103" s="836"/>
      <c r="F103" s="836"/>
      <c r="G103" s="836"/>
      <c r="H103" s="1176">
        <f>'MW Abandon Plan Report Field'!L53</f>
        <v>1026</v>
      </c>
      <c r="I103" s="978" t="s">
        <v>361</v>
      </c>
      <c r="J103" s="788"/>
      <c r="K103" s="1192" t="str">
        <f t="shared" si="1"/>
        <v/>
      </c>
    </row>
    <row r="104" spans="2:11" x14ac:dyDescent="0.25">
      <c r="B104" s="920" t="s">
        <v>412</v>
      </c>
      <c r="C104" s="836"/>
      <c r="D104" s="836"/>
      <c r="E104" s="836"/>
      <c r="F104" s="836"/>
      <c r="G104" s="836"/>
      <c r="H104" s="1176">
        <f>'MW Abandon Plan Report Field'!L78</f>
        <v>2042</v>
      </c>
      <c r="I104" s="976" t="s">
        <v>415</v>
      </c>
      <c r="J104" s="788"/>
      <c r="K104" s="1192" t="str">
        <f t="shared" si="1"/>
        <v/>
      </c>
    </row>
    <row r="105" spans="2:11" x14ac:dyDescent="0.25">
      <c r="B105" s="920" t="s">
        <v>1200</v>
      </c>
      <c r="C105" s="836"/>
      <c r="D105" s="836"/>
      <c r="E105" s="836"/>
      <c r="F105" s="836"/>
      <c r="G105" s="836"/>
      <c r="H105" s="1176">
        <f>'MISC Plans Reports'!L53</f>
        <v>802</v>
      </c>
      <c r="I105" s="978" t="s">
        <v>361</v>
      </c>
      <c r="J105" s="788"/>
      <c r="K105" s="1192" t="str">
        <f t="shared" si="1"/>
        <v/>
      </c>
    </row>
    <row r="106" spans="2:11" x14ac:dyDescent="0.25">
      <c r="B106" s="920" t="s">
        <v>1201</v>
      </c>
      <c r="C106" s="836"/>
      <c r="D106" s="836"/>
      <c r="E106" s="836"/>
      <c r="F106" s="836"/>
      <c r="G106" s="836"/>
      <c r="H106" s="1176">
        <f>'MISC Plans Reports'!L78</f>
        <v>1248</v>
      </c>
      <c r="I106" s="976" t="s">
        <v>415</v>
      </c>
      <c r="J106" s="788"/>
      <c r="K106" s="1192" t="str">
        <f t="shared" si="1"/>
        <v/>
      </c>
    </row>
    <row r="107" spans="2:11" x14ac:dyDescent="0.25">
      <c r="B107" s="920" t="s">
        <v>68</v>
      </c>
      <c r="C107" s="836"/>
      <c r="D107" s="836"/>
      <c r="E107" s="836"/>
      <c r="F107" s="836"/>
      <c r="G107" s="836"/>
      <c r="H107" s="1176">
        <f>'MISC Plans Reports'!L183</f>
        <v>1168</v>
      </c>
      <c r="I107" s="978" t="s">
        <v>361</v>
      </c>
      <c r="J107" s="788"/>
      <c r="K107" s="1192" t="str">
        <f t="shared" si="1"/>
        <v/>
      </c>
    </row>
    <row r="108" spans="2:11" x14ac:dyDescent="0.25">
      <c r="B108" s="920" t="s">
        <v>69</v>
      </c>
      <c r="C108" s="836"/>
      <c r="D108" s="836"/>
      <c r="E108" s="836"/>
      <c r="F108" s="836"/>
      <c r="G108" s="836"/>
      <c r="H108" s="1176">
        <f>'MISC Plans Reports'!L201</f>
        <v>1736</v>
      </c>
      <c r="I108" s="978" t="s">
        <v>415</v>
      </c>
      <c r="J108" s="788"/>
      <c r="K108" s="1192" t="str">
        <f t="shared" si="1"/>
        <v/>
      </c>
    </row>
    <row r="109" spans="2:11" x14ac:dyDescent="0.25">
      <c r="B109" s="920" t="s">
        <v>63</v>
      </c>
      <c r="C109" s="836"/>
      <c r="D109" s="836"/>
      <c r="E109" s="836"/>
      <c r="F109" s="836"/>
      <c r="G109" s="836"/>
      <c r="H109" s="1189">
        <f>'MISC Plans Reports'!L147</f>
        <v>348</v>
      </c>
      <c r="I109" s="976" t="s">
        <v>33</v>
      </c>
      <c r="J109" s="788"/>
      <c r="K109" s="1192" t="str">
        <f t="shared" si="1"/>
        <v/>
      </c>
    </row>
    <row r="110" spans="2:11" x14ac:dyDescent="0.25">
      <c r="B110" s="920" t="s">
        <v>355</v>
      </c>
      <c r="C110" s="836"/>
      <c r="D110" s="836"/>
      <c r="E110" s="836"/>
      <c r="F110" s="836"/>
      <c r="G110" s="836"/>
      <c r="H110" s="1176">
        <f>'MISC Plans Reports'!L96</f>
        <v>1412</v>
      </c>
      <c r="I110" s="978" t="s">
        <v>757</v>
      </c>
      <c r="J110" s="788"/>
      <c r="K110" s="1192" t="str">
        <f t="shared" si="1"/>
        <v/>
      </c>
    </row>
    <row r="111" spans="2:11" x14ac:dyDescent="0.25">
      <c r="B111" s="51" t="s">
        <v>1248</v>
      </c>
      <c r="C111" s="44"/>
      <c r="D111" s="44"/>
      <c r="E111" s="44"/>
      <c r="F111" s="44"/>
      <c r="G111" s="44"/>
      <c r="H111" s="1427">
        <f>'MISC Plans Reports'!L114</f>
        <v>904</v>
      </c>
      <c r="I111" s="1301" t="s">
        <v>757</v>
      </c>
      <c r="J111" s="788"/>
      <c r="K111" s="1192" t="str">
        <f t="shared" si="1"/>
        <v/>
      </c>
    </row>
    <row r="112" spans="2:11" x14ac:dyDescent="0.25">
      <c r="B112" s="51" t="s">
        <v>1351</v>
      </c>
      <c r="C112" s="44"/>
      <c r="D112" s="44"/>
      <c r="E112" s="44"/>
      <c r="F112" s="44"/>
      <c r="G112" s="44"/>
      <c r="H112" s="1427">
        <f>'MISC Plans Reports'!L279</f>
        <v>498</v>
      </c>
      <c r="I112" s="1301" t="s">
        <v>1353</v>
      </c>
      <c r="J112" s="716"/>
      <c r="K112" s="1192" t="str">
        <f t="shared" ref="K112:K121" si="2">IF(J112&lt;1,"",(H112*J112))</f>
        <v/>
      </c>
    </row>
    <row r="113" spans="2:12" x14ac:dyDescent="0.25">
      <c r="B113" s="920" t="s">
        <v>1245</v>
      </c>
      <c r="C113" s="836"/>
      <c r="D113" s="836"/>
      <c r="E113" s="836"/>
      <c r="F113" s="836"/>
      <c r="G113" s="836"/>
      <c r="H113" s="1176">
        <f>'MISC Plans Reports'!L114</f>
        <v>904</v>
      </c>
      <c r="I113" s="978" t="s">
        <v>757</v>
      </c>
      <c r="J113" s="788"/>
      <c r="K113" s="1192" t="str">
        <f t="shared" si="2"/>
        <v/>
      </c>
    </row>
    <row r="114" spans="2:12" x14ac:dyDescent="0.25">
      <c r="B114" s="920" t="s">
        <v>1352</v>
      </c>
      <c r="C114" s="44"/>
      <c r="D114" s="44"/>
      <c r="E114" s="44"/>
      <c r="F114" s="44"/>
      <c r="G114" s="44"/>
      <c r="H114" s="1427">
        <f>'MISC Plans Reports'!L279</f>
        <v>498</v>
      </c>
      <c r="I114" s="1301" t="s">
        <v>1353</v>
      </c>
      <c r="J114" s="716"/>
      <c r="K114" s="1192" t="str">
        <f t="shared" si="2"/>
        <v/>
      </c>
    </row>
    <row r="115" spans="2:12" x14ac:dyDescent="0.25">
      <c r="B115" s="920" t="s">
        <v>1246</v>
      </c>
      <c r="C115" s="836"/>
      <c r="D115" s="836"/>
      <c r="E115" s="836"/>
      <c r="F115" s="836"/>
      <c r="G115" s="836"/>
      <c r="H115" s="1189">
        <f>'MISC Plans Reports'!L132</f>
        <v>254</v>
      </c>
      <c r="I115" s="976" t="s">
        <v>489</v>
      </c>
      <c r="J115" s="788"/>
      <c r="K115" s="1192" t="str">
        <f t="shared" si="2"/>
        <v/>
      </c>
    </row>
    <row r="116" spans="2:12" ht="13.2" customHeight="1" x14ac:dyDescent="0.25">
      <c r="B116" s="920" t="s">
        <v>73</v>
      </c>
      <c r="C116" s="836"/>
      <c r="D116" s="836"/>
      <c r="E116" s="836"/>
      <c r="F116" s="836"/>
      <c r="G116" s="836"/>
      <c r="H116" s="1176">
        <f>'MISC Plans Reports'!L165</f>
        <v>548</v>
      </c>
      <c r="I116" s="976" t="s">
        <v>489</v>
      </c>
      <c r="J116" s="788"/>
      <c r="K116" s="1192" t="str">
        <f t="shared" si="2"/>
        <v/>
      </c>
    </row>
    <row r="117" spans="2:12" x14ac:dyDescent="0.25">
      <c r="B117" s="920" t="s">
        <v>1247</v>
      </c>
      <c r="C117" s="836"/>
      <c r="D117" s="836"/>
      <c r="E117" s="836"/>
      <c r="F117" s="836"/>
      <c r="G117" s="836"/>
      <c r="H117" s="1176">
        <f>'MW Abandon Plan Report Field'!L96</f>
        <v>648</v>
      </c>
      <c r="I117" s="976" t="s">
        <v>121</v>
      </c>
      <c r="J117" s="788"/>
      <c r="K117" s="1192" t="str">
        <f t="shared" si="2"/>
        <v/>
      </c>
    </row>
    <row r="118" spans="2:12" ht="13.2" customHeight="1" x14ac:dyDescent="0.25">
      <c r="B118" s="51" t="s">
        <v>1202</v>
      </c>
      <c r="C118" s="44"/>
      <c r="D118" s="44"/>
      <c r="E118" s="836"/>
      <c r="F118" s="836"/>
      <c r="G118" s="836"/>
      <c r="H118" s="1176">
        <f>'MISC Plans Reports'!L243</f>
        <v>122</v>
      </c>
      <c r="I118" s="978" t="s">
        <v>1048</v>
      </c>
      <c r="J118" s="788"/>
      <c r="K118" s="1192" t="str">
        <f t="shared" si="2"/>
        <v/>
      </c>
    </row>
    <row r="119" spans="2:12" ht="13.2" customHeight="1" x14ac:dyDescent="0.25">
      <c r="B119" s="51" t="s">
        <v>1203</v>
      </c>
      <c r="C119" s="44"/>
      <c r="D119" s="44"/>
      <c r="E119" s="836"/>
      <c r="F119" s="836"/>
      <c r="G119" s="836"/>
      <c r="H119" s="1176">
        <f>'MISC Plans Reports'!L261</f>
        <v>384</v>
      </c>
      <c r="I119" s="978" t="s">
        <v>1048</v>
      </c>
      <c r="J119" s="788"/>
      <c r="K119" s="1192" t="str">
        <f t="shared" si="2"/>
        <v/>
      </c>
    </row>
    <row r="120" spans="2:12" x14ac:dyDescent="0.25">
      <c r="B120" s="51" t="s">
        <v>1242</v>
      </c>
      <c r="C120" s="44"/>
      <c r="D120" s="1290"/>
      <c r="E120" s="1291"/>
      <c r="F120" s="1291"/>
      <c r="G120" s="1292"/>
      <c r="H120" s="1289"/>
      <c r="I120" s="978"/>
      <c r="J120" s="788"/>
      <c r="K120" s="1192" t="str">
        <f t="shared" si="2"/>
        <v/>
      </c>
    </row>
    <row r="121" spans="2:12" hidden="1" x14ac:dyDescent="0.25">
      <c r="B121" s="51"/>
      <c r="C121" s="44"/>
      <c r="D121" s="44"/>
      <c r="E121" s="836"/>
      <c r="F121" s="836"/>
      <c r="G121" s="836"/>
      <c r="H121" s="1176"/>
      <c r="I121" s="978"/>
      <c r="J121" s="788"/>
      <c r="K121" s="1192" t="str">
        <f t="shared" si="2"/>
        <v/>
      </c>
    </row>
    <row r="122" spans="2:12" ht="13.2" customHeight="1" x14ac:dyDescent="0.25">
      <c r="B122" s="920" t="s">
        <v>925</v>
      </c>
      <c r="C122" s="836"/>
      <c r="D122" s="836"/>
      <c r="E122" s="836"/>
      <c r="F122" s="836"/>
      <c r="G122" s="836"/>
      <c r="H122" s="1470" t="str">
        <f>IF('Form "F" Details'!K25="","",'Form "F" Details'!K25)</f>
        <v/>
      </c>
      <c r="I122" s="976"/>
      <c r="J122" s="1182" t="str">
        <f>IF(H122="","",1)</f>
        <v/>
      </c>
      <c r="K122" s="1192" t="str">
        <f>IF(H122=0,"",H122)</f>
        <v/>
      </c>
    </row>
    <row r="123" spans="2:12" ht="13.8" thickBot="1" x14ac:dyDescent="0.3">
      <c r="B123" s="920"/>
      <c r="C123" s="836"/>
      <c r="D123" s="836"/>
      <c r="E123" s="836"/>
      <c r="F123" s="925"/>
      <c r="G123" s="925"/>
      <c r="H123" s="1576"/>
      <c r="I123" s="1577"/>
      <c r="J123" s="1578"/>
      <c r="K123" s="1579"/>
    </row>
    <row r="124" spans="2:12" ht="16.2" customHeight="1" thickBot="1" x14ac:dyDescent="0.35">
      <c r="B124" s="924"/>
      <c r="C124" s="925"/>
      <c r="D124" s="983"/>
      <c r="E124" s="984"/>
      <c r="F124" s="1758" t="s">
        <v>863</v>
      </c>
      <c r="G124" s="1759"/>
      <c r="H124" s="1759"/>
      <c r="I124" s="1759"/>
      <c r="J124" s="1760"/>
      <c r="K124" s="1761">
        <f>SUM(K8:K122)</f>
        <v>0</v>
      </c>
      <c r="L124" s="1575">
        <f>SUM(K8:K122)</f>
        <v>0</v>
      </c>
    </row>
    <row r="125" spans="2:12" x14ac:dyDescent="0.25">
      <c r="B125" s="843"/>
      <c r="C125" s="843"/>
      <c r="F125" s="843"/>
      <c r="H125" s="961"/>
      <c r="I125" s="985"/>
      <c r="J125" s="845"/>
    </row>
    <row r="126" spans="2:12" x14ac:dyDescent="0.25">
      <c r="H126" s="961"/>
      <c r="J126" s="809"/>
    </row>
  </sheetData>
  <sheetProtection algorithmName="SHA-512" hashValue="BMOXSxhR2YOvkUHarLmG4gJJ7HLR7Jnvt3OqNxOsPrtXJaEbqnmHDldDXj9pmIw3iyPaG9dLCJInN6WGfMRKqQ==" saltValue="fM4IZNyCtJwLFUPCNJgyBw==" spinCount="100000" sheet="1" objects="1" scenarios="1" selectLockedCells="1"/>
  <protectedRanges>
    <protectedRange sqref="J9:J24 J26:J29 J31:J45 J48:J49 J51:J59 J61:J68 J70:J72 J74:J75 J113 J77:J111 J115:J121" name="Range3"/>
  </protectedRanges>
  <customSheetViews>
    <customSheetView guid="{BC429C65-53B8-4F97-88D2-74ECCD734800}" showGridLines="0" showRowCol="0" fitToPage="1">
      <pane xSplit="1" ySplit="6" topLeftCell="B7" activePane="bottomRight" state="frozen"/>
      <selection pane="bottomRight" activeCell="J9" sqref="J9"/>
      <pageMargins left="0.25" right="0.25" top="0.75" bottom="1" header="0" footer="0"/>
      <printOptions horizontalCentered="1"/>
      <pageSetup scale="97" fitToHeight="2" orientation="portrait" r:id="rId1"/>
      <headerFooter alignWithMargins="0">
        <oddHeader>&amp;RCP</oddHeader>
        <oddFooter>&amp;LADEM Form 318 07/2012</oddFooter>
      </headerFooter>
    </customSheetView>
  </customSheetViews>
  <mergeCells count="5">
    <mergeCell ref="B2:K2"/>
    <mergeCell ref="B3:K3"/>
    <mergeCell ref="B4:K4"/>
    <mergeCell ref="B67:G67"/>
    <mergeCell ref="B6:G6"/>
  </mergeCells>
  <phoneticPr fontId="4" type="noConversion"/>
  <dataValidations xWindow="491" yWindow="559" count="6">
    <dataValidation type="whole" allowBlank="1" showInputMessage="1" showErrorMessage="1" sqref="J19:J24 J26:J27 J12:J14 J48:J49 J51:J55 J58:J68 J74:J75 J70:J72 J77:J78 J31:J34 J90:J111 J113 J115:J116" xr:uid="{00000000-0002-0000-0600-000000000000}">
      <formula1>0</formula1>
      <formula2>1</formula2>
    </dataValidation>
    <dataValidation allowBlank="1" showInputMessage="1" showErrorMessage="1" prompt="Use Form &quot;F&quot; for input" sqref="H69 H122" xr:uid="{00000000-0002-0000-0600-000001000000}"/>
    <dataValidation type="whole" operator="equal" allowBlank="1" showInputMessage="1" showErrorMessage="1" sqref="J9" xr:uid="{00000000-0002-0000-0600-000002000000}">
      <formula1>1</formula1>
    </dataValidation>
    <dataValidation type="whole" allowBlank="1" showInputMessage="1" showErrorMessage="1" sqref="J10:J11" xr:uid="{00000000-0002-0000-0600-000003000000}">
      <formula1>0</formula1>
      <formula2>12</formula2>
    </dataValidation>
    <dataValidation type="whole" allowBlank="1" showInputMessage="1" showErrorMessage="1" sqref="J117:J121" xr:uid="{00000000-0002-0000-0600-000004000000}">
      <formula1>0</formula1>
      <formula2>4</formula2>
    </dataValidation>
    <dataValidation type="whole" allowBlank="1" showInputMessage="1" showErrorMessage="1" sqref="J35:J45" xr:uid="{00000000-0002-0000-0600-000005000000}">
      <formula1>0</formula1>
      <formula2>3</formula2>
    </dataValidation>
  </dataValidations>
  <printOptions horizontalCentered="1"/>
  <pageMargins left="0.41" right="0.5" top="0.75" bottom="0.45" header="0.17" footer="0"/>
  <pageSetup fitToHeight="2" orientation="portrait" r:id="rId2"/>
  <headerFooter alignWithMargins="0">
    <oddHeader>&amp;RCP</oddHeader>
    <oddFooter>&amp;LADEM Form 31 DRAFT&amp;C2/2025&amp;R*M9 DRAFT</oddFooter>
  </headerFooter>
  <ignoredErrors>
    <ignoredError sqref="H112:H113"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7409" r:id="rId5" name="Button 1">
              <controlPr defaultSize="0" print="0" autoFill="0" autoPict="0" macro="[0]!deletecpadinputs">
                <anchor moveWithCells="1">
                  <from>
                    <xdr:col>0</xdr:col>
                    <xdr:colOff>144780</xdr:colOff>
                    <xdr:row>15</xdr:row>
                    <xdr:rowOff>106680</xdr:rowOff>
                  </from>
                  <to>
                    <xdr:col>0</xdr:col>
                    <xdr:colOff>845820</xdr:colOff>
                    <xdr:row>20</xdr:row>
                    <xdr:rowOff>22860</xdr:rowOff>
                  </to>
                </anchor>
              </controlPr>
            </control>
          </mc:Choice>
        </mc:AlternateContent>
        <mc:AlternateContent xmlns:mc="http://schemas.openxmlformats.org/markup-compatibility/2006">
          <mc:Choice Requires="x14">
            <control shapeId="17412" r:id="rId6" name="Button 4">
              <controlPr defaultSize="0" print="0" autoFill="0" autoPict="0" macro="[0]!one">
                <anchor moveWithCells="1">
                  <from>
                    <xdr:col>0</xdr:col>
                    <xdr:colOff>175260</xdr:colOff>
                    <xdr:row>11</xdr:row>
                    <xdr:rowOff>22860</xdr:rowOff>
                  </from>
                  <to>
                    <xdr:col>0</xdr:col>
                    <xdr:colOff>822960</xdr:colOff>
                    <xdr:row>14</xdr:row>
                    <xdr:rowOff>99060</xdr:rowOff>
                  </to>
                </anchor>
              </controlPr>
            </control>
          </mc:Choice>
        </mc:AlternateContent>
        <mc:AlternateContent xmlns:mc="http://schemas.openxmlformats.org/markup-compatibility/2006">
          <mc:Choice Requires="x14">
            <control shapeId="17413" r:id="rId7" name="Button 5">
              <controlPr defaultSize="0" print="0" autoFill="0" autoPict="0" macro="[0]!eight">
                <anchor moveWithCells="1">
                  <from>
                    <xdr:col>0</xdr:col>
                    <xdr:colOff>175260</xdr:colOff>
                    <xdr:row>111</xdr:row>
                    <xdr:rowOff>22860</xdr:rowOff>
                  </from>
                  <to>
                    <xdr:col>0</xdr:col>
                    <xdr:colOff>861060</xdr:colOff>
                    <xdr:row>115</xdr:row>
                    <xdr:rowOff>22860</xdr:rowOff>
                  </to>
                </anchor>
              </controlPr>
            </control>
          </mc:Choice>
        </mc:AlternateContent>
        <mc:AlternateContent xmlns:mc="http://schemas.openxmlformats.org/markup-compatibility/2006">
          <mc:Choice Requires="x14">
            <control shapeId="17414" r:id="rId8" name="Button 6">
              <controlPr defaultSize="0" print="0" autoFill="0" autoPict="0" macro="[0]!eight">
                <anchor>
                  <from>
                    <xdr:col>0</xdr:col>
                    <xdr:colOff>160020</xdr:colOff>
                    <xdr:row>21</xdr:row>
                    <xdr:rowOff>22860</xdr:rowOff>
                  </from>
                  <to>
                    <xdr:col>0</xdr:col>
                    <xdr:colOff>838200</xdr:colOff>
                    <xdr:row>24</xdr:row>
                    <xdr:rowOff>99060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tabColor rgb="FFFF7C80"/>
    <pageSetUpPr fitToPage="1"/>
  </sheetPr>
  <dimension ref="A1:K54"/>
  <sheetViews>
    <sheetView showGridLines="0" showRowColHeaders="0" zoomScale="110" zoomScaleNormal="110" workbookViewId="0">
      <selection activeCell="B8" sqref="B8:J10"/>
    </sheetView>
  </sheetViews>
  <sheetFormatPr defaultColWidth="9.109375" defaultRowHeight="15" x14ac:dyDescent="0.25"/>
  <cols>
    <col min="1" max="1" width="13.6640625" style="203" customWidth="1"/>
    <col min="2" max="2" width="18.6640625" style="204" customWidth="1"/>
    <col min="3" max="3" width="9.109375" style="204"/>
    <col min="4" max="4" width="13.33203125" style="204" customWidth="1"/>
    <col min="5" max="5" width="5.44140625" style="204" customWidth="1"/>
    <col min="6" max="8" width="9.109375" style="204"/>
    <col min="9" max="9" width="20.6640625" style="204" customWidth="1"/>
    <col min="10" max="16384" width="9.109375" style="204"/>
  </cols>
  <sheetData>
    <row r="1" spans="2:9" ht="19.2" customHeight="1" x14ac:dyDescent="0.25"/>
    <row r="2" spans="2:9" ht="18" customHeight="1" x14ac:dyDescent="0.35">
      <c r="B2" s="2116" t="s">
        <v>625</v>
      </c>
      <c r="C2" s="2116"/>
      <c r="D2" s="2116"/>
      <c r="E2" s="2116"/>
      <c r="F2" s="2116"/>
      <c r="G2" s="2116"/>
      <c r="H2" s="2116"/>
      <c r="I2" s="2116"/>
    </row>
    <row r="3" spans="2:9" ht="18" customHeight="1" x14ac:dyDescent="0.3">
      <c r="B3" s="2117" t="s">
        <v>128</v>
      </c>
      <c r="C3" s="2117"/>
      <c r="D3" s="2117"/>
      <c r="E3" s="2117"/>
      <c r="F3" s="2117"/>
      <c r="G3" s="2117"/>
      <c r="H3" s="2117"/>
      <c r="I3" s="2117"/>
    </row>
    <row r="4" spans="2:9" ht="18" customHeight="1" x14ac:dyDescent="0.3">
      <c r="B4" s="2117" t="s">
        <v>627</v>
      </c>
      <c r="C4" s="2117"/>
      <c r="D4" s="2117"/>
      <c r="E4" s="2117"/>
      <c r="F4" s="2117"/>
      <c r="G4" s="2117"/>
      <c r="H4" s="2117"/>
      <c r="I4" s="2117"/>
    </row>
    <row r="5" spans="2:9" ht="18" customHeight="1" x14ac:dyDescent="0.25">
      <c r="B5" s="206"/>
      <c r="C5" s="206"/>
      <c r="D5" s="206"/>
      <c r="E5" s="206"/>
      <c r="F5" s="206"/>
      <c r="G5" s="206"/>
      <c r="H5" s="206"/>
      <c r="I5" s="206"/>
    </row>
    <row r="6" spans="2:9" ht="18" customHeight="1" thickBot="1" x14ac:dyDescent="0.35">
      <c r="B6" s="2053" t="s">
        <v>130</v>
      </c>
      <c r="C6" s="2053"/>
      <c r="D6" s="2053"/>
      <c r="E6" s="206"/>
      <c r="F6" s="206"/>
      <c r="G6" s="206"/>
      <c r="H6" s="206"/>
      <c r="I6" s="206"/>
    </row>
    <row r="7" spans="2:9" ht="18" customHeight="1" thickBot="1" x14ac:dyDescent="0.3">
      <c r="B7" s="2130" t="s">
        <v>131</v>
      </c>
      <c r="C7" s="2131"/>
      <c r="D7" s="2131"/>
      <c r="E7" s="2132"/>
      <c r="F7" s="2130" t="s">
        <v>132</v>
      </c>
      <c r="G7" s="2131"/>
      <c r="H7" s="2131"/>
      <c r="I7" s="2132"/>
    </row>
    <row r="8" spans="2:9" ht="18" customHeight="1" x14ac:dyDescent="0.25">
      <c r="B8" s="2133" t="str">
        <f>IF('CP Part I Info'!B8:E9="","Enter Information from CP Form",'CP Part I Info'!B8:E9)</f>
        <v>Enter Information from CP Form</v>
      </c>
      <c r="C8" s="2134"/>
      <c r="D8" s="2134"/>
      <c r="E8" s="2135"/>
      <c r="F8" s="2121"/>
      <c r="G8" s="2122"/>
      <c r="H8" s="2122"/>
      <c r="I8" s="2123"/>
    </row>
    <row r="9" spans="2:9" ht="18" customHeight="1" x14ac:dyDescent="0.25">
      <c r="B9" s="2136"/>
      <c r="C9" s="2137"/>
      <c r="D9" s="2137"/>
      <c r="E9" s="2138"/>
      <c r="F9" s="2124"/>
      <c r="G9" s="2125"/>
      <c r="H9" s="2125"/>
      <c r="I9" s="2126"/>
    </row>
    <row r="10" spans="2:9" ht="18" customHeight="1" thickBot="1" x14ac:dyDescent="0.3">
      <c r="B10" s="2083" t="str">
        <f>IF('CP Part I Info'!B9="","",'CP Part I Info'!B9)</f>
        <v/>
      </c>
      <c r="C10" s="2084"/>
      <c r="D10" s="2084"/>
      <c r="E10" s="2085"/>
      <c r="F10" s="2127"/>
      <c r="G10" s="2128"/>
      <c r="H10" s="2128"/>
      <c r="I10" s="2129"/>
    </row>
    <row r="11" spans="2:9" ht="18" customHeight="1" thickBot="1" x14ac:dyDescent="0.3">
      <c r="B11" s="2130" t="s">
        <v>631</v>
      </c>
      <c r="C11" s="2131"/>
      <c r="D11" s="2131"/>
      <c r="E11" s="2132"/>
      <c r="F11" s="2130" t="s">
        <v>632</v>
      </c>
      <c r="G11" s="2131"/>
      <c r="H11" s="2131"/>
      <c r="I11" s="2132"/>
    </row>
    <row r="12" spans="2:9" ht="18" customHeight="1" x14ac:dyDescent="0.25">
      <c r="B12" s="2080" t="str">
        <f>IF('CP Part I Info'!B11:E11="","Enter Information from CP Form",'CP Part I Info'!B11:E11)</f>
        <v>Enter Information from CP Form</v>
      </c>
      <c r="C12" s="2081"/>
      <c r="D12" s="2081"/>
      <c r="E12" s="2082"/>
      <c r="F12" s="2080" t="str">
        <f>IF('CP Part I Info'!F11:I11="","Enter Information from CP Form",'CP Part I Info'!F11:I11)</f>
        <v>Enter Information from CP Form</v>
      </c>
      <c r="G12" s="2081"/>
      <c r="H12" s="2081"/>
      <c r="I12" s="2082"/>
    </row>
    <row r="13" spans="2:9" ht="18" customHeight="1" x14ac:dyDescent="0.25">
      <c r="B13" s="2118"/>
      <c r="C13" s="2119"/>
      <c r="D13" s="2119"/>
      <c r="E13" s="2120"/>
      <c r="F13" s="2118"/>
      <c r="G13" s="2119"/>
      <c r="H13" s="2119"/>
      <c r="I13" s="2120"/>
    </row>
    <row r="14" spans="2:9" ht="18" customHeight="1" thickBot="1" x14ac:dyDescent="0.3">
      <c r="B14" s="2083"/>
      <c r="C14" s="2084"/>
      <c r="D14" s="2084"/>
      <c r="E14" s="2085"/>
      <c r="F14" s="2083"/>
      <c r="G14" s="2084"/>
      <c r="H14" s="2084"/>
      <c r="I14" s="2085"/>
    </row>
    <row r="15" spans="2:9" ht="18" customHeight="1" x14ac:dyDescent="0.25">
      <c r="B15" s="206"/>
      <c r="C15" s="206"/>
      <c r="D15" s="206"/>
      <c r="E15" s="206"/>
      <c r="F15" s="206"/>
      <c r="G15" s="206"/>
      <c r="H15" s="206"/>
      <c r="I15" s="206"/>
    </row>
    <row r="16" spans="2:9" ht="18" customHeight="1" thickBot="1" x14ac:dyDescent="0.35">
      <c r="B16" s="2053" t="s">
        <v>633</v>
      </c>
      <c r="C16" s="2053"/>
      <c r="D16" s="2053"/>
      <c r="E16" s="206"/>
      <c r="F16" s="206"/>
      <c r="G16" s="206"/>
      <c r="H16" s="206"/>
      <c r="I16" s="206"/>
    </row>
    <row r="17" spans="2:9" ht="18" customHeight="1" x14ac:dyDescent="0.25">
      <c r="B17" s="210" t="s">
        <v>640</v>
      </c>
      <c r="C17" s="212"/>
      <c r="D17" s="2086" t="str">
        <f>IF('CP Part I Info'!D14:I14="","Enter Information from CP Form",'CP Part I Info'!D14:I14)</f>
        <v>Enter Information from CP Form</v>
      </c>
      <c r="E17" s="2081"/>
      <c r="F17" s="2081"/>
      <c r="G17" s="2081"/>
      <c r="H17" s="2081"/>
      <c r="I17" s="2082"/>
    </row>
    <row r="18" spans="2:9" ht="18" customHeight="1" thickBot="1" x14ac:dyDescent="0.3">
      <c r="B18" s="219"/>
      <c r="C18" s="67"/>
      <c r="D18" s="2083"/>
      <c r="E18" s="2084"/>
      <c r="F18" s="2084"/>
      <c r="G18" s="2084"/>
      <c r="H18" s="2084"/>
      <c r="I18" s="2085"/>
    </row>
    <row r="19" spans="2:9" ht="18" customHeight="1" x14ac:dyDescent="0.3">
      <c r="B19" s="210" t="s">
        <v>641</v>
      </c>
      <c r="C19" s="212"/>
      <c r="D19" s="2087" t="str">
        <f>IF('CP Part I Info'!D15:I15="","Enter Information from CP Form",'CP Part I Info'!D15:I15)</f>
        <v>Enter Information from CP Form</v>
      </c>
      <c r="E19" s="2088"/>
      <c r="F19" s="2088"/>
      <c r="G19" s="2088"/>
      <c r="H19" s="2088"/>
      <c r="I19" s="2089"/>
    </row>
    <row r="20" spans="2:9" ht="18" customHeight="1" thickBot="1" x14ac:dyDescent="0.3">
      <c r="B20" s="219"/>
      <c r="C20" s="67"/>
      <c r="D20" s="2077" t="str">
        <f>IF('CP Part I Info'!D16:I16="","",'CP Part I Info'!D16:I16)</f>
        <v/>
      </c>
      <c r="E20" s="2078"/>
      <c r="F20" s="2078"/>
      <c r="G20" s="2078"/>
      <c r="H20" s="2078"/>
      <c r="I20" s="2079"/>
    </row>
    <row r="21" spans="2:9" ht="18" customHeight="1" x14ac:dyDescent="0.25">
      <c r="B21" s="206"/>
      <c r="C21" s="206"/>
      <c r="D21" s="206"/>
      <c r="E21" s="206"/>
      <c r="F21" s="206"/>
      <c r="G21" s="206"/>
      <c r="H21" s="206"/>
      <c r="I21" s="206"/>
    </row>
    <row r="22" spans="2:9" ht="18" customHeight="1" thickBot="1" x14ac:dyDescent="0.35">
      <c r="B22" s="2053" t="s">
        <v>642</v>
      </c>
      <c r="C22" s="2053"/>
      <c r="D22" s="2053"/>
      <c r="E22" s="206"/>
      <c r="F22" s="206"/>
      <c r="G22" s="206"/>
      <c r="H22" s="206"/>
      <c r="I22" s="206"/>
    </row>
    <row r="23" spans="2:9" ht="18" customHeight="1" x14ac:dyDescent="0.25">
      <c r="B23" s="210" t="s">
        <v>643</v>
      </c>
      <c r="C23" s="212"/>
      <c r="D23" s="2080" t="str">
        <f>IF('CP Part I Info'!D19:I19="","Enter Information from CP Form",'CP Part I Info'!D19:I19)</f>
        <v>Enter Information from CP Form</v>
      </c>
      <c r="E23" s="2081"/>
      <c r="F23" s="2081"/>
      <c r="G23" s="2081"/>
      <c r="H23" s="2081"/>
      <c r="I23" s="2082"/>
    </row>
    <row r="24" spans="2:9" ht="18" customHeight="1" thickBot="1" x14ac:dyDescent="0.3">
      <c r="B24" s="219"/>
      <c r="C24" s="67"/>
      <c r="D24" s="2083"/>
      <c r="E24" s="2084"/>
      <c r="F24" s="2084"/>
      <c r="G24" s="2084"/>
      <c r="H24" s="2084"/>
      <c r="I24" s="2085"/>
    </row>
    <row r="25" spans="2:9" ht="18" customHeight="1" x14ac:dyDescent="0.25">
      <c r="B25" s="210" t="s">
        <v>644</v>
      </c>
      <c r="C25" s="212"/>
      <c r="D25" s="2099" t="str">
        <f>IF('CP Part I Info'!D20:I20="","Enter Information from CP Form",'CP Part I Info'!D20:I20)</f>
        <v>Enter Information from CP Form</v>
      </c>
      <c r="E25" s="2100"/>
      <c r="F25" s="2100"/>
      <c r="G25" s="2100"/>
      <c r="H25" s="2100"/>
      <c r="I25" s="2101"/>
    </row>
    <row r="26" spans="2:9" ht="18" customHeight="1" thickBot="1" x14ac:dyDescent="0.3">
      <c r="B26" s="219"/>
      <c r="C26" s="67"/>
      <c r="D26" s="2102" t="str">
        <f>IF('CP Part I Info'!D21:I21="","",'CP Part I Info'!D21:I21)</f>
        <v/>
      </c>
      <c r="E26" s="2103"/>
      <c r="F26" s="2103"/>
      <c r="G26" s="2103"/>
      <c r="H26" s="2103"/>
      <c r="I26" s="2104"/>
    </row>
    <row r="27" spans="2:9" ht="18" customHeight="1" x14ac:dyDescent="0.25">
      <c r="B27" s="206"/>
      <c r="C27" s="206"/>
      <c r="D27" s="1614"/>
      <c r="E27" s="1613"/>
      <c r="F27" s="1613"/>
      <c r="G27" s="1613"/>
      <c r="H27" s="1613"/>
      <c r="I27" s="1613"/>
    </row>
    <row r="28" spans="2:9" ht="18" customHeight="1" thickBot="1" x14ac:dyDescent="0.35">
      <c r="B28" s="1618" t="s">
        <v>645</v>
      </c>
      <c r="C28" s="225"/>
      <c r="D28" s="206"/>
      <c r="E28" s="1619"/>
      <c r="F28" s="1619"/>
      <c r="G28" s="1619"/>
      <c r="H28" s="1619"/>
      <c r="I28" s="1619"/>
    </row>
    <row r="29" spans="2:9" ht="18" customHeight="1" thickBot="1" x14ac:dyDescent="0.3">
      <c r="B29" s="208" t="s">
        <v>646</v>
      </c>
      <c r="C29" s="209"/>
      <c r="D29" s="209"/>
      <c r="E29" s="1617"/>
      <c r="F29" s="2090" t="str">
        <f>IF('CP Part I Info'!F25="","Enter Information from CP Form",'CP Part I Info'!F25)</f>
        <v>Enter Information from CP Form</v>
      </c>
      <c r="G29" s="2091"/>
      <c r="H29" s="2091"/>
      <c r="I29" s="2092"/>
    </row>
    <row r="30" spans="2:9" ht="18.75" customHeight="1" x14ac:dyDescent="0.25">
      <c r="B30" s="2093" t="s">
        <v>647</v>
      </c>
      <c r="C30" s="2094"/>
      <c r="D30" s="2094"/>
      <c r="E30" s="2095"/>
      <c r="F30" s="2074" t="str">
        <f>IF('CP Part I Info'!F26="","Enter Information from CP Form",'CP Part I Info'!F26)</f>
        <v>Enter Information from CP Form</v>
      </c>
      <c r="G30" s="2075"/>
      <c r="H30" s="2075"/>
      <c r="I30" s="2076"/>
    </row>
    <row r="31" spans="2:9" ht="18" customHeight="1" thickBot="1" x14ac:dyDescent="0.3">
      <c r="B31" s="2096"/>
      <c r="C31" s="2097"/>
      <c r="D31" s="2097"/>
      <c r="E31" s="2098"/>
      <c r="F31" s="2113" t="str">
        <f>IF('CP Part I Info'!F27="","Enter Information from CP Form",'CP Part I Info'!F27)</f>
        <v>Enter Information from CP Form</v>
      </c>
      <c r="G31" s="2114"/>
      <c r="H31" s="2114"/>
      <c r="I31" s="2115"/>
    </row>
    <row r="32" spans="2:9" ht="18" customHeight="1" thickBot="1" x14ac:dyDescent="0.3">
      <c r="B32" s="2105" t="s">
        <v>648</v>
      </c>
      <c r="C32" s="2106"/>
      <c r="D32" s="2107" t="str">
        <f>IF('CP Part I Info'!D29:I29="","Enter Information from CP Form",'CP Part I Info'!D29:I29)</f>
        <v>Enter Information from CP Form</v>
      </c>
      <c r="E32" s="2107"/>
      <c r="F32" s="2108"/>
      <c r="G32" s="2108"/>
      <c r="H32" s="2108"/>
      <c r="I32" s="2109"/>
    </row>
    <row r="33" spans="2:9" ht="18" customHeight="1" thickBot="1" x14ac:dyDescent="0.3">
      <c r="B33" s="2111" t="s">
        <v>134</v>
      </c>
      <c r="C33" s="2112"/>
      <c r="D33" s="2112"/>
      <c r="E33" s="2108" t="str">
        <f>IF('CP Part I Info'!E30:I30="","Enter Information from CP Form",'CP Part I Info'!E30:I30)</f>
        <v>Enter Information from CP Form</v>
      </c>
      <c r="F33" s="2108"/>
      <c r="G33" s="2108"/>
      <c r="H33" s="2108"/>
      <c r="I33" s="2109"/>
    </row>
    <row r="34" spans="2:9" ht="18" customHeight="1" thickBot="1" x14ac:dyDescent="0.3">
      <c r="B34" s="2105" t="s">
        <v>1190</v>
      </c>
      <c r="C34" s="2106"/>
      <c r="D34" s="2106"/>
      <c r="E34" s="2107" t="str">
        <f>IF('CP Part I Info'!E31:I31="","Enter Information from CP Form",'CP Part I Info'!E31:I31)</f>
        <v>Enter Information from CP Form</v>
      </c>
      <c r="F34" s="2107"/>
      <c r="G34" s="2107"/>
      <c r="H34" s="2107"/>
      <c r="I34" s="2110"/>
    </row>
    <row r="35" spans="2:9" ht="9.75" customHeight="1" x14ac:dyDescent="0.25">
      <c r="B35" s="211"/>
      <c r="C35" s="1710"/>
      <c r="D35" s="1710"/>
      <c r="E35" s="1711"/>
      <c r="F35" s="1711"/>
      <c r="G35" s="1711"/>
      <c r="H35" s="1711"/>
      <c r="I35" s="1711"/>
    </row>
    <row r="36" spans="2:9" ht="0.75" customHeight="1" x14ac:dyDescent="0.25">
      <c r="B36" s="206"/>
      <c r="C36" s="1710"/>
      <c r="D36" s="1710"/>
      <c r="E36" s="1622"/>
      <c r="F36" s="1622"/>
      <c r="G36" s="1622"/>
      <c r="H36" s="1622"/>
      <c r="I36" s="1622"/>
    </row>
    <row r="37" spans="2:9" ht="18" customHeight="1" thickBot="1" x14ac:dyDescent="0.35">
      <c r="B37" s="2053" t="s">
        <v>135</v>
      </c>
      <c r="C37" s="2053"/>
      <c r="D37" s="2053"/>
      <c r="E37" s="206"/>
      <c r="F37" s="206"/>
      <c r="G37" s="206"/>
      <c r="H37" s="206"/>
      <c r="I37" s="206"/>
    </row>
    <row r="38" spans="2:9" ht="18" customHeight="1" thickBot="1" x14ac:dyDescent="0.3">
      <c r="B38" s="208" t="s">
        <v>136</v>
      </c>
      <c r="C38" s="209"/>
      <c r="D38" s="209"/>
      <c r="E38" s="209"/>
      <c r="F38" s="209"/>
      <c r="G38" s="209"/>
      <c r="H38" s="209"/>
      <c r="I38" s="1620"/>
    </row>
    <row r="39" spans="2:9" ht="18" customHeight="1" thickBot="1" x14ac:dyDescent="0.3">
      <c r="B39" s="2059"/>
      <c r="C39" s="2057"/>
      <c r="D39" s="2057"/>
      <c r="E39" s="2057"/>
      <c r="F39" s="2057"/>
      <c r="G39" s="2057"/>
      <c r="H39" s="2057"/>
      <c r="I39" s="2058"/>
    </row>
    <row r="40" spans="2:9" ht="18" customHeight="1" thickBot="1" x14ac:dyDescent="0.3">
      <c r="B40" s="220" t="s">
        <v>137</v>
      </c>
      <c r="C40" s="2057"/>
      <c r="D40" s="2057"/>
      <c r="E40" s="2057"/>
      <c r="F40" s="2057"/>
      <c r="G40" s="2057"/>
      <c r="H40" s="2057"/>
      <c r="I40" s="2058"/>
    </row>
    <row r="41" spans="2:9" ht="5.25" customHeight="1" x14ac:dyDescent="0.25">
      <c r="B41" s="2060"/>
      <c r="C41" s="2060"/>
      <c r="D41" s="2065" t="str">
        <f>IF('CP Part I Info'!D33="","",'CP Part I Info'!D33)</f>
        <v/>
      </c>
      <c r="E41" s="2065"/>
      <c r="F41" s="2065"/>
      <c r="G41" s="2065"/>
      <c r="H41" s="2065"/>
      <c r="I41" s="2065"/>
    </row>
    <row r="42" spans="2:9" ht="18" customHeight="1" thickBot="1" x14ac:dyDescent="0.35">
      <c r="B42" s="1621" t="s">
        <v>1381</v>
      </c>
      <c r="C42" s="206"/>
      <c r="D42" s="206"/>
      <c r="E42" s="1621"/>
      <c r="F42" s="1621"/>
      <c r="G42" s="206"/>
      <c r="H42" s="206"/>
      <c r="I42" s="206"/>
    </row>
    <row r="43" spans="2:9" ht="18" customHeight="1" thickBot="1" x14ac:dyDescent="0.3">
      <c r="B43" s="1623" t="s">
        <v>1375</v>
      </c>
      <c r="C43" s="2061"/>
      <c r="D43" s="2062"/>
      <c r="E43" s="2063" t="s">
        <v>1376</v>
      </c>
      <c r="F43" s="2063"/>
      <c r="G43" s="2061"/>
      <c r="H43" s="2064"/>
      <c r="I43" s="2062"/>
    </row>
    <row r="44" spans="2:9" ht="6.75" customHeight="1" thickBot="1" x14ac:dyDescent="0.3">
      <c r="B44" s="206"/>
      <c r="C44" s="206"/>
      <c r="D44" s="206"/>
      <c r="E44" s="206"/>
      <c r="F44" s="206"/>
      <c r="G44" s="206"/>
      <c r="H44" s="206"/>
      <c r="I44" s="206"/>
    </row>
    <row r="45" spans="2:9" x14ac:dyDescent="0.25">
      <c r="B45" s="1615" t="s">
        <v>997</v>
      </c>
      <c r="C45" s="2054" t="s">
        <v>999</v>
      </c>
      <c r="D45" s="2055"/>
      <c r="E45" s="2056"/>
      <c r="F45" s="2054" t="s">
        <v>1230</v>
      </c>
      <c r="G45" s="2056"/>
      <c r="H45" s="2054" t="s">
        <v>1000</v>
      </c>
      <c r="I45" s="2056"/>
    </row>
    <row r="46" spans="2:9" ht="24.75" customHeight="1" thickBot="1" x14ac:dyDescent="0.3">
      <c r="B46" s="413" t="s">
        <v>998</v>
      </c>
      <c r="C46" s="414"/>
      <c r="D46" s="415"/>
      <c r="E46" s="416"/>
      <c r="F46" s="414"/>
      <c r="G46" s="416"/>
      <c r="H46" s="415"/>
      <c r="I46" s="416"/>
    </row>
    <row r="52" spans="2:11" ht="20.399999999999999" hidden="1" customHeight="1" thickBot="1" x14ac:dyDescent="0.3">
      <c r="B52" s="2045" t="s">
        <v>1013</v>
      </c>
      <c r="C52" s="2046"/>
      <c r="D52" s="2046"/>
      <c r="E52" s="2046"/>
      <c r="F52" s="2046"/>
      <c r="G52" s="2046"/>
      <c r="H52" s="2046"/>
      <c r="I52" s="2046"/>
      <c r="J52" s="2046"/>
      <c r="K52" s="2047"/>
    </row>
    <row r="53" spans="2:11" hidden="1" x14ac:dyDescent="0.25">
      <c r="B53" s="2048" t="s">
        <v>1011</v>
      </c>
      <c r="C53" s="2049"/>
      <c r="D53" s="2050" t="s">
        <v>1008</v>
      </c>
      <c r="E53" s="2051"/>
      <c r="F53" s="2052"/>
      <c r="G53" s="1616" t="s">
        <v>1007</v>
      </c>
      <c r="H53" s="2069" t="s">
        <v>1012</v>
      </c>
      <c r="I53" s="2070"/>
      <c r="J53" s="2069" t="s">
        <v>1018</v>
      </c>
      <c r="K53" s="2073"/>
    </row>
    <row r="54" spans="2:11" ht="15.6" hidden="1" thickBot="1" x14ac:dyDescent="0.3">
      <c r="B54" s="2071">
        <f>IF('PR Part I Total'!$E$17="","",'PR Part I Total'!$E$17)</f>
        <v>0</v>
      </c>
      <c r="C54" s="2072"/>
      <c r="D54" s="2066" t="str">
        <f>IF('PR Part I Info'!$F$12="","",'PR Part I Info'!$F$12)</f>
        <v>Enter Information from CP Form</v>
      </c>
      <c r="E54" s="2067"/>
      <c r="F54" s="2068"/>
      <c r="G54" s="677" t="str">
        <f>IF('PR Part I Info'!$B$8="","",'PR Part I Info'!$B$8)</f>
        <v>Enter Information from CP Form</v>
      </c>
      <c r="H54" s="2066" t="str">
        <f>IF('PR Part I Info'!$B$12="","",'PR Part I Info'!$B$12)</f>
        <v>Enter Information from CP Form</v>
      </c>
      <c r="I54" s="2068"/>
      <c r="J54" s="2066" t="str">
        <f>IF('PR Part I Info'!$D$17="","",'PR Part I Info'!$D$17)</f>
        <v>Enter Information from CP Form</v>
      </c>
      <c r="K54" s="2068"/>
    </row>
  </sheetData>
  <sheetProtection algorithmName="SHA-512" hashValue="DZJSh4KAPReXNPua9HBrVpvgjkr7WtSv8GkF/5Oy+4OoZEMlpknWq6brhULvSCfJP4osVlGb1u9ijtp4bgW24g==" saltValue="AEWI3vMrmLsEe+RVumGQdQ==" spinCount="100000" sheet="1" objects="1" scenarios="1" selectLockedCells="1"/>
  <protectedRanges>
    <protectedRange sqref="C40:I40 B39:I39 F8:I10" name="Range3"/>
  </protectedRanges>
  <customSheetViews>
    <customSheetView guid="{BC429C65-53B8-4F97-88D2-74ECCD734800}" showGridLines="0" showRowCol="0" fitToPage="1" state="hidden">
      <selection activeCell="F8" sqref="F8:I10"/>
      <pageMargins left="0.25" right="0.25" top="0.75" bottom="0" header="0" footer="0.3"/>
      <printOptions horizontalCentered="1"/>
      <pageSetup orientation="portrait" r:id="rId1"/>
      <headerFooter>
        <oddHeader>&amp;RPR</oddHeader>
      </headerFooter>
    </customSheetView>
  </customSheetViews>
  <mergeCells count="51">
    <mergeCell ref="B2:I2"/>
    <mergeCell ref="B3:I3"/>
    <mergeCell ref="B4:I4"/>
    <mergeCell ref="B6:D6"/>
    <mergeCell ref="B12:E14"/>
    <mergeCell ref="F8:I10"/>
    <mergeCell ref="F12:I14"/>
    <mergeCell ref="B11:E11"/>
    <mergeCell ref="B7:E7"/>
    <mergeCell ref="F7:I7"/>
    <mergeCell ref="B8:E9"/>
    <mergeCell ref="B10:E10"/>
    <mergeCell ref="F11:I11"/>
    <mergeCell ref="B34:D34"/>
    <mergeCell ref="D32:I32"/>
    <mergeCell ref="E34:I34"/>
    <mergeCell ref="B33:D33"/>
    <mergeCell ref="F31:I31"/>
    <mergeCell ref="E33:I33"/>
    <mergeCell ref="B32:C32"/>
    <mergeCell ref="F30:I30"/>
    <mergeCell ref="D20:I20"/>
    <mergeCell ref="D23:I24"/>
    <mergeCell ref="B16:D16"/>
    <mergeCell ref="D17:I18"/>
    <mergeCell ref="D19:I19"/>
    <mergeCell ref="B22:D22"/>
    <mergeCell ref="F29:I29"/>
    <mergeCell ref="B30:E31"/>
    <mergeCell ref="D25:I25"/>
    <mergeCell ref="D26:I26"/>
    <mergeCell ref="D54:F54"/>
    <mergeCell ref="H53:I53"/>
    <mergeCell ref="H54:I54"/>
    <mergeCell ref="B54:C54"/>
    <mergeCell ref="J54:K54"/>
    <mergeCell ref="J53:K53"/>
    <mergeCell ref="B52:K52"/>
    <mergeCell ref="B53:C53"/>
    <mergeCell ref="D53:F53"/>
    <mergeCell ref="B37:D37"/>
    <mergeCell ref="C45:E45"/>
    <mergeCell ref="F45:G45"/>
    <mergeCell ref="H45:I45"/>
    <mergeCell ref="C40:I40"/>
    <mergeCell ref="B39:I39"/>
    <mergeCell ref="B41:C41"/>
    <mergeCell ref="C43:D43"/>
    <mergeCell ref="E43:F43"/>
    <mergeCell ref="G43:I43"/>
    <mergeCell ref="D41:I41"/>
  </mergeCells>
  <phoneticPr fontId="21" type="noConversion"/>
  <conditionalFormatting sqref="F8:I10">
    <cfRule type="expression" dxfId="14" priority="3" stopIfTrue="1">
      <formula>ISBLANK(F8:I10)</formula>
    </cfRule>
  </conditionalFormatting>
  <conditionalFormatting sqref="C40">
    <cfRule type="expression" dxfId="13" priority="4" stopIfTrue="1">
      <formula>ISBLANK(C40:I40)</formula>
    </cfRule>
  </conditionalFormatting>
  <conditionalFormatting sqref="B39 C40">
    <cfRule type="expression" dxfId="12" priority="5" stopIfTrue="1">
      <formula>ISBLANK(B39:I39)</formula>
    </cfRule>
  </conditionalFormatting>
  <conditionalFormatting sqref="C39:I39">
    <cfRule type="expression" dxfId="11" priority="40" stopIfTrue="1">
      <formula>ISBLANK(C43:D43)</formula>
    </cfRule>
  </conditionalFormatting>
  <conditionalFormatting sqref="D40:I40">
    <cfRule type="expression" dxfId="10" priority="42" stopIfTrue="1">
      <formula>ISBLANK(#REF!)</formula>
    </cfRule>
  </conditionalFormatting>
  <conditionalFormatting sqref="C43:D43">
    <cfRule type="expression" dxfId="9" priority="2">
      <formula>ISBLANK(C43:D43)</formula>
    </cfRule>
  </conditionalFormatting>
  <conditionalFormatting sqref="G43:I43">
    <cfRule type="expression" dxfId="8" priority="1">
      <formula>ISBLANK(G43:I43)</formula>
    </cfRule>
  </conditionalFormatting>
  <dataValidations xWindow="579" yWindow="762" count="1">
    <dataValidation allowBlank="1" showInputMessage="1" showErrorMessage="1" prompt="Information to be inserted on CP tabs" sqref="D23:D27 B10 E23:I24 E17:I18 D32:I32 B8 E35:E36 D17:D20 B12:I14 E28:E29 F28:I28 E33:I33 E34 C35:D36" xr:uid="{00000000-0002-0000-0700-000000000000}"/>
  </dataValidations>
  <printOptions horizontalCentered="1"/>
  <pageMargins left="0.25" right="0.25" top="0.25" bottom="0" header="0" footer="0"/>
  <pageSetup orientation="portrait" r:id="rId2"/>
  <headerFooter>
    <oddHeader>&amp;RPR</oddHeader>
    <oddFooter>&amp;LADEM Form 32 DRAFT&amp;C2/2025&amp;R*M9 DRAFT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1509" r:id="rId5" name="Button 5">
              <controlPr defaultSize="0" print="0" autoFill="0" autoPict="0" macro="[0]!DeletePRFormI">
                <anchor>
                  <from>
                    <xdr:col>0</xdr:col>
                    <xdr:colOff>175260</xdr:colOff>
                    <xdr:row>12</xdr:row>
                    <xdr:rowOff>213360</xdr:rowOff>
                  </from>
                  <to>
                    <xdr:col>0</xdr:col>
                    <xdr:colOff>754380</xdr:colOff>
                    <xdr:row>15</xdr:row>
                    <xdr:rowOff>175260</xdr:rowOff>
                  </to>
                </anchor>
              </controlPr>
            </control>
          </mc:Choice>
        </mc:AlternateContent>
        <mc:AlternateContent xmlns:mc="http://schemas.openxmlformats.org/markup-compatibility/2006">
          <mc:Choice Requires="x14">
            <control shapeId="21510" r:id="rId6" name="Button 6">
              <controlPr defaultSize="0" print="0" autoFill="0" autoPict="0" macro="[0]!fourteen">
                <anchor>
                  <from>
                    <xdr:col>0</xdr:col>
                    <xdr:colOff>144780</xdr:colOff>
                    <xdr:row>19</xdr:row>
                    <xdr:rowOff>175260</xdr:rowOff>
                  </from>
                  <to>
                    <xdr:col>0</xdr:col>
                    <xdr:colOff>762000</xdr:colOff>
                    <xdr:row>23</xdr:row>
                    <xdr:rowOff>114300</xdr:rowOff>
                  </to>
                </anchor>
              </controlPr>
            </control>
          </mc:Choice>
        </mc:AlternateContent>
        <mc:AlternateContent xmlns:mc="http://schemas.openxmlformats.org/markup-compatibility/2006">
          <mc:Choice Requires="x14">
            <control shapeId="21511" r:id="rId7" name="Button 7">
              <controlPr defaultSize="0" print="0" autoFill="0" autoPict="0" macro="[0]!nine">
                <anchor>
                  <from>
                    <xdr:col>0</xdr:col>
                    <xdr:colOff>137160</xdr:colOff>
                    <xdr:row>16</xdr:row>
                    <xdr:rowOff>45720</xdr:rowOff>
                  </from>
                  <to>
                    <xdr:col>0</xdr:col>
                    <xdr:colOff>754380</xdr:colOff>
                    <xdr:row>19</xdr:row>
                    <xdr:rowOff>45720</xdr:rowOff>
                  </to>
                </anchor>
              </controlPr>
            </control>
          </mc:Choice>
        </mc:AlternateContent>
        <mc:AlternateContent xmlns:mc="http://schemas.openxmlformats.org/markup-compatibility/2006">
          <mc:Choice Requires="x14">
            <control shapeId="21512" r:id="rId8" name="Button 8">
              <controlPr defaultSize="0" print="0" autoFill="0" autoPict="0" macro="[0]!twelve">
                <anchor moveWithCells="1">
                  <from>
                    <xdr:col>0</xdr:col>
                    <xdr:colOff>144780</xdr:colOff>
                    <xdr:row>24</xdr:row>
                    <xdr:rowOff>30480</xdr:rowOff>
                  </from>
                  <to>
                    <xdr:col>0</xdr:col>
                    <xdr:colOff>746760</xdr:colOff>
                    <xdr:row>26</xdr:row>
                    <xdr:rowOff>144780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7">
    <tabColor rgb="FFFF7C80"/>
    <pageSetUpPr fitToPage="1"/>
  </sheetPr>
  <dimension ref="A1:J63"/>
  <sheetViews>
    <sheetView showGridLines="0" showRowColHeaders="0" zoomScale="110" zoomScaleNormal="110" workbookViewId="0">
      <selection activeCell="B8" sqref="B8:J10"/>
    </sheetView>
  </sheetViews>
  <sheetFormatPr defaultColWidth="9.109375" defaultRowHeight="15" x14ac:dyDescent="0.25"/>
  <cols>
    <col min="1" max="1" width="13.6640625" style="218" customWidth="1"/>
    <col min="2" max="2" width="3.109375" style="213" customWidth="1"/>
    <col min="3" max="5" width="9.109375" style="213"/>
    <col min="6" max="6" width="18.6640625" style="213" customWidth="1"/>
    <col min="7" max="7" width="9.109375" style="213"/>
    <col min="8" max="8" width="19.5546875" style="213" customWidth="1"/>
    <col min="9" max="9" width="25.109375" style="213" customWidth="1"/>
    <col min="10" max="16384" width="9.109375" style="213"/>
  </cols>
  <sheetData>
    <row r="1" spans="2:9" ht="19.2" customHeight="1" x14ac:dyDescent="0.25"/>
    <row r="2" spans="2:9" ht="19.2" customHeight="1" x14ac:dyDescent="0.25">
      <c r="B2" s="1049" t="str">
        <f>IF(B3="","",'PR Part I Info'!B7:E7)</f>
        <v/>
      </c>
      <c r="C2" s="1049"/>
      <c r="D2" s="1049"/>
      <c r="E2" s="1049" t="str">
        <f>IF(E3="","",'PR Part I Info'!B11)</f>
        <v/>
      </c>
      <c r="F2" s="1049"/>
      <c r="G2" s="1049"/>
      <c r="H2" s="1049" t="str">
        <f>IF(H3="","",'PR Part I Info'!F11)</f>
        <v/>
      </c>
      <c r="I2" s="1049"/>
    </row>
    <row r="3" spans="2:9" ht="19.2" customHeight="1" x14ac:dyDescent="0.25">
      <c r="B3" s="1052" t="str">
        <f>IF('PR Part I Info'!B8="Enter Information from CP Form","",'PR Part I Info'!B8)</f>
        <v/>
      </c>
      <c r="C3" s="1052"/>
      <c r="D3" s="1624"/>
      <c r="E3" s="1574" t="str">
        <f>IF('PR Part I Info'!B12="Enter Information from CP Form","",'PR Part I Info'!B12)</f>
        <v/>
      </c>
      <c r="F3" s="1574"/>
      <c r="G3" s="1574"/>
      <c r="H3" s="1023" t="str">
        <f>IF('PR Part I Info'!F12="Enter Information from CP Form","",'PR Part I Info'!F12)</f>
        <v/>
      </c>
      <c r="I3" s="1023"/>
    </row>
    <row r="4" spans="2:9" ht="16.2" customHeight="1" thickBot="1" x14ac:dyDescent="0.35">
      <c r="B4" s="1003" t="s">
        <v>1382</v>
      </c>
      <c r="C4" s="1003"/>
      <c r="D4" s="1003"/>
      <c r="E4" s="214"/>
      <c r="F4" s="214"/>
      <c r="G4" s="214"/>
      <c r="H4" s="214"/>
      <c r="I4" s="214"/>
    </row>
    <row r="5" spans="2:9" ht="16.2" customHeight="1" thickBot="1" x14ac:dyDescent="0.35">
      <c r="B5" s="2142" t="s">
        <v>133</v>
      </c>
      <c r="C5" s="2143"/>
      <c r="D5" s="2143"/>
      <c r="E5" s="2143"/>
      <c r="F5" s="2143"/>
      <c r="G5" s="2143"/>
      <c r="H5" s="2143"/>
      <c r="I5" s="2144"/>
    </row>
    <row r="6" spans="2:9" ht="16.2" customHeight="1" thickBot="1" x14ac:dyDescent="0.3">
      <c r="B6" s="1004"/>
      <c r="C6" s="214"/>
      <c r="D6" s="214"/>
      <c r="E6" s="214"/>
      <c r="F6" s="214"/>
      <c r="G6" s="214"/>
      <c r="H6" s="214"/>
      <c r="I6" s="1005"/>
    </row>
    <row r="7" spans="2:9" ht="16.2" customHeight="1" thickBot="1" x14ac:dyDescent="0.3">
      <c r="B7" s="1020"/>
      <c r="C7" s="1006" t="s">
        <v>1182</v>
      </c>
      <c r="D7" s="215"/>
      <c r="E7" s="215"/>
      <c r="F7" s="215"/>
      <c r="G7" s="215"/>
      <c r="H7" s="1007">
        <f>IF(B7="x",1,0)</f>
        <v>0</v>
      </c>
      <c r="I7" s="216"/>
    </row>
    <row r="8" spans="2:9" ht="16.2" customHeight="1" thickBot="1" x14ac:dyDescent="0.3">
      <c r="B8" s="1020"/>
      <c r="C8" s="1006" t="s">
        <v>650</v>
      </c>
      <c r="D8" s="215"/>
      <c r="E8" s="215"/>
      <c r="F8" s="215"/>
      <c r="G8" s="215"/>
      <c r="H8" s="1007">
        <f t="shared" ref="H8:H20" si="0">IF(B8="x",1,0)</f>
        <v>0</v>
      </c>
      <c r="I8" s="216"/>
    </row>
    <row r="9" spans="2:9" ht="16.2" customHeight="1" thickBot="1" x14ac:dyDescent="0.3">
      <c r="B9" s="1020"/>
      <c r="C9" s="1006" t="s">
        <v>1183</v>
      </c>
      <c r="D9" s="215"/>
      <c r="E9" s="215"/>
      <c r="F9" s="215"/>
      <c r="G9" s="215"/>
      <c r="H9" s="1007">
        <f t="shared" si="0"/>
        <v>0</v>
      </c>
      <c r="I9" s="216"/>
    </row>
    <row r="10" spans="2:9" ht="16.2" customHeight="1" thickBot="1" x14ac:dyDescent="0.3">
      <c r="B10" s="1020"/>
      <c r="C10" s="1006" t="s">
        <v>1184</v>
      </c>
      <c r="D10" s="215"/>
      <c r="E10" s="214"/>
      <c r="F10" s="215"/>
      <c r="G10" s="214"/>
      <c r="H10" s="1007">
        <f t="shared" si="0"/>
        <v>0</v>
      </c>
      <c r="I10" s="216"/>
    </row>
    <row r="11" spans="2:9" ht="16.2" customHeight="1" thickBot="1" x14ac:dyDescent="0.3">
      <c r="B11" s="1020"/>
      <c r="C11" s="1006" t="s">
        <v>1185</v>
      </c>
      <c r="D11" s="215"/>
      <c r="E11" s="215"/>
      <c r="F11" s="215"/>
      <c r="G11" s="215"/>
      <c r="H11" s="1007">
        <f t="shared" si="0"/>
        <v>0</v>
      </c>
      <c r="I11" s="216"/>
    </row>
    <row r="12" spans="2:9" ht="16.2" customHeight="1" thickBot="1" x14ac:dyDescent="0.3">
      <c r="B12" s="1020"/>
      <c r="C12" s="1006" t="s">
        <v>1186</v>
      </c>
      <c r="D12" s="215"/>
      <c r="E12" s="215"/>
      <c r="F12" s="215"/>
      <c r="G12" s="215"/>
      <c r="H12" s="1007"/>
      <c r="I12" s="1008">
        <f>IF(B12="x",1,0)</f>
        <v>0</v>
      </c>
    </row>
    <row r="13" spans="2:9" ht="16.2" customHeight="1" thickBot="1" x14ac:dyDescent="0.3">
      <c r="B13" s="1020"/>
      <c r="C13" s="1006" t="s">
        <v>1282</v>
      </c>
      <c r="D13" s="215"/>
      <c r="E13" s="215"/>
      <c r="F13" s="215"/>
      <c r="G13" s="215"/>
      <c r="H13" s="1007">
        <f t="shared" si="0"/>
        <v>0</v>
      </c>
      <c r="I13" s="1008"/>
    </row>
    <row r="14" spans="2:9" ht="16.2" customHeight="1" thickBot="1" x14ac:dyDescent="0.3">
      <c r="B14" s="1020"/>
      <c r="C14" s="1026" t="s">
        <v>651</v>
      </c>
      <c r="D14" s="1002"/>
      <c r="E14" s="1002"/>
      <c r="F14" s="214"/>
      <c r="G14" s="1002"/>
      <c r="H14" s="1486">
        <f t="shared" si="0"/>
        <v>0</v>
      </c>
      <c r="I14" s="960"/>
    </row>
    <row r="15" spans="2:9" ht="16.2" customHeight="1" thickBot="1" x14ac:dyDescent="0.3">
      <c r="B15" s="1020"/>
      <c r="C15" s="1006" t="s">
        <v>652</v>
      </c>
      <c r="D15" s="215"/>
      <c r="E15" s="215"/>
      <c r="F15" s="215"/>
      <c r="G15" s="215"/>
      <c r="H15" s="1007">
        <f t="shared" si="0"/>
        <v>0</v>
      </c>
      <c r="I15" s="216"/>
    </row>
    <row r="16" spans="2:9" ht="16.2" customHeight="1" thickBot="1" x14ac:dyDescent="0.3">
      <c r="B16" s="1020"/>
      <c r="C16" s="1004" t="s">
        <v>668</v>
      </c>
      <c r="D16" s="215"/>
      <c r="E16" s="215"/>
      <c r="F16" s="215"/>
      <c r="G16" s="215"/>
      <c r="H16" s="1007">
        <f t="shared" si="0"/>
        <v>0</v>
      </c>
      <c r="I16" s="216"/>
    </row>
    <row r="17" spans="2:9" ht="16.2" customHeight="1" thickBot="1" x14ac:dyDescent="0.3">
      <c r="B17" s="1020"/>
      <c r="C17" s="1006" t="s">
        <v>653</v>
      </c>
      <c r="D17" s="215"/>
      <c r="E17" s="215"/>
      <c r="F17" s="215"/>
      <c r="G17" s="214"/>
      <c r="H17" s="1007">
        <f t="shared" si="0"/>
        <v>0</v>
      </c>
      <c r="I17" s="216"/>
    </row>
    <row r="18" spans="2:9" ht="16.2" customHeight="1" thickBot="1" x14ac:dyDescent="0.3">
      <c r="B18" s="1020"/>
      <c r="C18" s="215" t="s">
        <v>771</v>
      </c>
      <c r="D18" s="215"/>
      <c r="E18" s="215"/>
      <c r="F18" s="215"/>
      <c r="G18" s="215"/>
      <c r="H18" s="1007">
        <f t="shared" si="0"/>
        <v>0</v>
      </c>
      <c r="I18" s="216"/>
    </row>
    <row r="19" spans="2:9" ht="16.2" customHeight="1" thickBot="1" x14ac:dyDescent="0.3">
      <c r="B19" s="1020"/>
      <c r="C19" s="1001" t="s">
        <v>772</v>
      </c>
      <c r="D19" s="1001"/>
      <c r="E19" s="1001"/>
      <c r="F19" s="1001"/>
      <c r="G19" s="214"/>
      <c r="H19" s="1625">
        <f t="shared" si="0"/>
        <v>0</v>
      </c>
      <c r="I19" s="217"/>
    </row>
    <row r="20" spans="2:9" ht="16.2" customHeight="1" thickBot="1" x14ac:dyDescent="0.3">
      <c r="B20" s="1020"/>
      <c r="C20" s="1006" t="s">
        <v>1188</v>
      </c>
      <c r="D20" s="215"/>
      <c r="E20" s="215"/>
      <c r="F20" s="215"/>
      <c r="G20" s="215"/>
      <c r="H20" s="1625">
        <f t="shared" si="0"/>
        <v>0</v>
      </c>
      <c r="I20" s="216"/>
    </row>
    <row r="21" spans="2:9" ht="16.2" customHeight="1" thickBot="1" x14ac:dyDescent="0.3">
      <c r="B21" s="1009" t="s">
        <v>1044</v>
      </c>
      <c r="C21" s="1685"/>
      <c r="D21" s="1685"/>
      <c r="E21" s="1685"/>
      <c r="F21" s="1685"/>
      <c r="G21" s="1685"/>
      <c r="H21" s="1687">
        <f>SUM(H7:H11)+SUM(H13:H20)+I12</f>
        <v>0</v>
      </c>
      <c r="I21" s="1686"/>
    </row>
    <row r="22" spans="2:9" ht="16.2" customHeight="1" x14ac:dyDescent="0.25">
      <c r="B22" s="2145"/>
      <c r="C22" s="2146"/>
      <c r="D22" s="2146"/>
      <c r="E22" s="2146"/>
      <c r="F22" s="2146"/>
      <c r="G22" s="2146"/>
      <c r="H22" s="2146"/>
      <c r="I22" s="2147"/>
    </row>
    <row r="23" spans="2:9" ht="16.2" customHeight="1" x14ac:dyDescent="0.25">
      <c r="B23" s="2148"/>
      <c r="C23" s="2149"/>
      <c r="D23" s="2149"/>
      <c r="E23" s="2149"/>
      <c r="F23" s="2149"/>
      <c r="G23" s="2149"/>
      <c r="H23" s="2149"/>
      <c r="I23" s="2150"/>
    </row>
    <row r="24" spans="2:9" ht="16.2" customHeight="1" x14ac:dyDescent="0.25">
      <c r="B24" s="2148"/>
      <c r="C24" s="2149"/>
      <c r="D24" s="2149"/>
      <c r="E24" s="2149"/>
      <c r="F24" s="2149"/>
      <c r="G24" s="2149"/>
      <c r="H24" s="2149"/>
      <c r="I24" s="2150"/>
    </row>
    <row r="25" spans="2:9" ht="16.2" customHeight="1" x14ac:dyDescent="0.25">
      <c r="B25" s="2148"/>
      <c r="C25" s="2149"/>
      <c r="D25" s="2149"/>
      <c r="E25" s="2149"/>
      <c r="F25" s="2149"/>
      <c r="G25" s="2149"/>
      <c r="H25" s="2149"/>
      <c r="I25" s="2150"/>
    </row>
    <row r="26" spans="2:9" ht="16.2" customHeight="1" x14ac:dyDescent="0.25">
      <c r="B26" s="2148"/>
      <c r="C26" s="2149"/>
      <c r="D26" s="2149"/>
      <c r="E26" s="2149"/>
      <c r="F26" s="2149"/>
      <c r="G26" s="2149"/>
      <c r="H26" s="2149"/>
      <c r="I26" s="2150"/>
    </row>
    <row r="27" spans="2:9" ht="16.2" customHeight="1" x14ac:dyDescent="0.25">
      <c r="B27" s="2148"/>
      <c r="C27" s="2149"/>
      <c r="D27" s="2149"/>
      <c r="E27" s="2149"/>
      <c r="F27" s="2149"/>
      <c r="G27" s="2149"/>
      <c r="H27" s="2149"/>
      <c r="I27" s="2150"/>
    </row>
    <row r="28" spans="2:9" ht="16.2" customHeight="1" x14ac:dyDescent="0.25">
      <c r="B28" s="2148"/>
      <c r="C28" s="2149"/>
      <c r="D28" s="2149"/>
      <c r="E28" s="2149"/>
      <c r="F28" s="2149"/>
      <c r="G28" s="2149"/>
      <c r="H28" s="2149"/>
      <c r="I28" s="2150"/>
    </row>
    <row r="29" spans="2:9" ht="16.2" customHeight="1" x14ac:dyDescent="0.25">
      <c r="B29" s="2148"/>
      <c r="C29" s="2149"/>
      <c r="D29" s="2149"/>
      <c r="E29" s="2149"/>
      <c r="F29" s="2149"/>
      <c r="G29" s="2149"/>
      <c r="H29" s="2149"/>
      <c r="I29" s="2150"/>
    </row>
    <row r="30" spans="2:9" ht="16.2" customHeight="1" x14ac:dyDescent="0.25">
      <c r="B30" s="2148"/>
      <c r="C30" s="2149"/>
      <c r="D30" s="2149"/>
      <c r="E30" s="2149"/>
      <c r="F30" s="2149"/>
      <c r="G30" s="2149"/>
      <c r="H30" s="2149"/>
      <c r="I30" s="2150"/>
    </row>
    <row r="31" spans="2:9" ht="16.2" customHeight="1" x14ac:dyDescent="0.25">
      <c r="B31" s="2148"/>
      <c r="C31" s="2149"/>
      <c r="D31" s="2149"/>
      <c r="E31" s="2149"/>
      <c r="F31" s="2149"/>
      <c r="G31" s="2149"/>
      <c r="H31" s="2149"/>
      <c r="I31" s="2150"/>
    </row>
    <row r="32" spans="2:9" ht="16.2" customHeight="1" thickBot="1" x14ac:dyDescent="0.3">
      <c r="B32" s="2151"/>
      <c r="C32" s="2152"/>
      <c r="D32" s="2152"/>
      <c r="E32" s="2152"/>
      <c r="F32" s="2152"/>
      <c r="G32" s="2152"/>
      <c r="H32" s="2152"/>
      <c r="I32" s="2153"/>
    </row>
    <row r="33" spans="2:10" ht="16.2" customHeight="1" x14ac:dyDescent="0.25">
      <c r="B33" s="214"/>
      <c r="C33" s="214"/>
      <c r="D33" s="214"/>
      <c r="E33" s="214"/>
      <c r="F33" s="214"/>
      <c r="G33" s="214"/>
      <c r="H33" s="214"/>
      <c r="I33" s="214"/>
      <c r="J33" s="1013"/>
    </row>
    <row r="34" spans="2:10" ht="16.2" customHeight="1" thickBot="1" x14ac:dyDescent="0.35">
      <c r="B34" s="1626" t="s">
        <v>1383</v>
      </c>
      <c r="C34" s="1626"/>
      <c r="D34" s="1626"/>
      <c r="E34" s="1028"/>
      <c r="F34" s="214"/>
      <c r="G34" s="214"/>
      <c r="H34" s="214"/>
      <c r="I34" s="214"/>
    </row>
    <row r="35" spans="2:10" ht="16.2" customHeight="1" x14ac:dyDescent="0.25">
      <c r="B35" s="1025" t="s">
        <v>887</v>
      </c>
      <c r="C35" s="1001"/>
      <c r="D35" s="1001"/>
      <c r="E35" s="1001"/>
      <c r="F35" s="1001"/>
      <c r="G35" s="1001"/>
      <c r="H35" s="1001"/>
      <c r="I35" s="217"/>
    </row>
    <row r="36" spans="2:10" ht="16.2" customHeight="1" thickBot="1" x14ac:dyDescent="0.35">
      <c r="B36" s="1893" t="s">
        <v>773</v>
      </c>
      <c r="C36" s="1894"/>
      <c r="D36" s="1894"/>
      <c r="E36" s="1894"/>
      <c r="F36" s="1894"/>
      <c r="G36" s="1894" t="s">
        <v>658</v>
      </c>
      <c r="H36" s="1894"/>
      <c r="I36" s="1895"/>
    </row>
    <row r="37" spans="2:10" ht="22.95" customHeight="1" thickBot="1" x14ac:dyDescent="0.3">
      <c r="B37" s="2139"/>
      <c r="C37" s="2140"/>
      <c r="D37" s="2140"/>
      <c r="E37" s="2140"/>
      <c r="F37" s="2141"/>
      <c r="G37" s="2139"/>
      <c r="H37" s="2140"/>
      <c r="I37" s="2141"/>
    </row>
    <row r="38" spans="2:10" ht="22.95" customHeight="1" thickBot="1" x14ac:dyDescent="0.3">
      <c r="B38" s="2139"/>
      <c r="C38" s="2140"/>
      <c r="D38" s="2140"/>
      <c r="E38" s="2140"/>
      <c r="F38" s="2141"/>
      <c r="G38" s="2139"/>
      <c r="H38" s="2140"/>
      <c r="I38" s="2141"/>
    </row>
    <row r="39" spans="2:10" ht="22.95" customHeight="1" thickBot="1" x14ac:dyDescent="0.3">
      <c r="B39" s="2139"/>
      <c r="C39" s="2140"/>
      <c r="D39" s="2140"/>
      <c r="E39" s="2140"/>
      <c r="F39" s="2141"/>
      <c r="G39" s="2139"/>
      <c r="H39" s="2140"/>
      <c r="I39" s="2141"/>
    </row>
    <row r="40" spans="2:10" ht="22.95" customHeight="1" thickBot="1" x14ac:dyDescent="0.3">
      <c r="B40" s="2154"/>
      <c r="C40" s="1828"/>
      <c r="D40" s="1828"/>
      <c r="E40" s="1828"/>
      <c r="F40" s="1829"/>
      <c r="G40" s="2139"/>
      <c r="H40" s="2140"/>
      <c r="I40" s="2141"/>
    </row>
    <row r="41" spans="2:10" ht="22.95" customHeight="1" thickBot="1" x14ac:dyDescent="0.3">
      <c r="B41" s="2139"/>
      <c r="C41" s="2140"/>
      <c r="D41" s="2140"/>
      <c r="E41" s="2140"/>
      <c r="F41" s="2141"/>
      <c r="G41" s="2139"/>
      <c r="H41" s="2140"/>
      <c r="I41" s="2141"/>
    </row>
    <row r="42" spans="2:10" ht="22.95" customHeight="1" thickBot="1" x14ac:dyDescent="0.3">
      <c r="B42" s="2139"/>
      <c r="C42" s="2140"/>
      <c r="D42" s="2140"/>
      <c r="E42" s="2140"/>
      <c r="F42" s="2141"/>
      <c r="G42" s="1896"/>
      <c r="H42" s="1835"/>
      <c r="I42" s="1836"/>
    </row>
    <row r="43" spans="2:10" ht="22.95" customHeight="1" thickBot="1" x14ac:dyDescent="0.3">
      <c r="B43" s="2139"/>
      <c r="C43" s="2140"/>
      <c r="D43" s="2140"/>
      <c r="E43" s="2140"/>
      <c r="F43" s="2141"/>
      <c r="G43" s="1896"/>
      <c r="H43" s="1835"/>
      <c r="I43" s="1836"/>
    </row>
    <row r="45" spans="2:10" ht="12.75" customHeight="1" x14ac:dyDescent="0.25"/>
    <row r="46" spans="2:10" ht="13.5" customHeight="1" x14ac:dyDescent="0.25"/>
    <row r="47" spans="2:10" ht="12.75" customHeight="1" x14ac:dyDescent="0.25"/>
    <row r="48" spans="2:10" ht="13.5" customHeight="1" x14ac:dyDescent="0.25"/>
    <row r="50" spans="2:2" ht="15.6" x14ac:dyDescent="0.3">
      <c r="B50" s="1019"/>
    </row>
    <row r="52" spans="2:2" ht="12.75" customHeight="1" x14ac:dyDescent="0.25"/>
    <row r="53" spans="2:2" ht="13.5" customHeight="1" x14ac:dyDescent="0.25"/>
    <row r="54" spans="2:2" ht="15" customHeight="1" x14ac:dyDescent="0.25"/>
    <row r="55" spans="2:2" ht="13.5" customHeight="1" x14ac:dyDescent="0.25"/>
    <row r="56" spans="2:2" ht="15.75" customHeight="1" x14ac:dyDescent="0.25"/>
    <row r="57" spans="2:2" ht="13.5" customHeight="1" x14ac:dyDescent="0.25"/>
    <row r="58" spans="2:2" ht="12.75" customHeight="1" x14ac:dyDescent="0.25"/>
    <row r="59" spans="2:2" ht="13.5" customHeight="1" x14ac:dyDescent="0.25"/>
    <row r="60" spans="2:2" ht="15" customHeight="1" x14ac:dyDescent="0.25"/>
    <row r="61" spans="2:2" ht="15.75" customHeight="1" x14ac:dyDescent="0.25"/>
    <row r="62" spans="2:2" ht="15" customHeight="1" x14ac:dyDescent="0.25"/>
    <row r="63" spans="2:2" ht="13.5" customHeight="1" x14ac:dyDescent="0.25"/>
  </sheetData>
  <sheetProtection algorithmName="SHA-512" hashValue="lgtiA76Ctu81XxzJOd/ljGvwWPPSli9ddw8iGwW8VRq7Oj7+IfmAPjnH8d0UvnmK8+TWxRQadJfbK81nnssG2Q==" saltValue="j0rNIPz5N8nrOdokoLeKxA==" spinCount="100000" sheet="1" selectLockedCells="1"/>
  <protectedRanges>
    <protectedRange sqref="B7:B20 B22:I28 B29:I30 B31:I32 B37:I43" name="Range3"/>
  </protectedRanges>
  <customSheetViews>
    <customSheetView guid="{BC429C65-53B8-4F97-88D2-74ECCD734800}" showGridLines="0" state="hidden" topLeftCell="A22">
      <selection activeCell="F8" sqref="F8:I10"/>
      <pageMargins left="0.25" right="0.25" top="0.75" bottom="0" header="0" footer="0.3"/>
      <printOptions horizontalCentered="1"/>
      <pageSetup orientation="portrait" r:id="rId1"/>
      <headerFooter>
        <oddHeader>&amp;RPR</oddHeader>
      </headerFooter>
    </customSheetView>
  </customSheetViews>
  <mergeCells count="18">
    <mergeCell ref="B5:I5"/>
    <mergeCell ref="G36:I36"/>
    <mergeCell ref="B36:F36"/>
    <mergeCell ref="B22:I32"/>
    <mergeCell ref="B40:F40"/>
    <mergeCell ref="G40:I40"/>
    <mergeCell ref="B38:F38"/>
    <mergeCell ref="G38:I38"/>
    <mergeCell ref="B37:F37"/>
    <mergeCell ref="G37:I37"/>
    <mergeCell ref="B39:F39"/>
    <mergeCell ref="G39:I39"/>
    <mergeCell ref="G43:I43"/>
    <mergeCell ref="G42:I42"/>
    <mergeCell ref="B43:F43"/>
    <mergeCell ref="B42:F42"/>
    <mergeCell ref="B41:F41"/>
    <mergeCell ref="G41:I41"/>
  </mergeCells>
  <phoneticPr fontId="21" type="noConversion"/>
  <conditionalFormatting sqref="B22">
    <cfRule type="expression" dxfId="7" priority="1">
      <formula>ISBLANK($B$22:$I$28)</formula>
    </cfRule>
  </conditionalFormatting>
  <conditionalFormatting sqref="B7:B20">
    <cfRule type="expression" dxfId="6" priority="7">
      <formula>$H$21=0</formula>
    </cfRule>
  </conditionalFormatting>
  <conditionalFormatting sqref="B37:I43">
    <cfRule type="expression" dxfId="5" priority="10">
      <formula>ISBLANK($B$37:$I$43)</formula>
    </cfRule>
  </conditionalFormatting>
  <dataValidations count="1">
    <dataValidation type="list" allowBlank="1" showInputMessage="1" showErrorMessage="1" sqref="B7:B20" xr:uid="{00000000-0002-0000-0800-000000000000}">
      <formula1>"X"</formula1>
    </dataValidation>
  </dataValidations>
  <printOptions horizontalCentered="1"/>
  <pageMargins left="0.25" right="0.25" top="0.34" bottom="0.17" header="0" footer="0.17"/>
  <pageSetup orientation="portrait" r:id="rId2"/>
  <headerFooter>
    <oddHeader>&amp;RPR</oddHeader>
    <oddFooter>&amp;LADEM Form 32 DRAFT&amp;C2/2025&amp;R*M9 DRAFT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2530" r:id="rId5" name="Button 2">
              <controlPr defaultSize="0" print="0" autoFill="0" autoPict="0" macro="[0]!deleteprform2">
                <anchor>
                  <from>
                    <xdr:col>0</xdr:col>
                    <xdr:colOff>152400</xdr:colOff>
                    <xdr:row>13</xdr:row>
                    <xdr:rowOff>45720</xdr:rowOff>
                  </from>
                  <to>
                    <xdr:col>0</xdr:col>
                    <xdr:colOff>754380</xdr:colOff>
                    <xdr:row>16</xdr:row>
                    <xdr:rowOff>106680</xdr:rowOff>
                  </to>
                </anchor>
              </controlPr>
            </control>
          </mc:Choice>
        </mc:AlternateContent>
        <mc:AlternateContent xmlns:mc="http://schemas.openxmlformats.org/markup-compatibility/2006">
          <mc:Choice Requires="x14">
            <control shapeId="22534" r:id="rId6" name="Button 6">
              <controlPr defaultSize="0" print="0" autoFill="0" autoPict="0" macro="[0]!twelve">
                <anchor moveWithCells="1">
                  <from>
                    <xdr:col>0</xdr:col>
                    <xdr:colOff>152400</xdr:colOff>
                    <xdr:row>17</xdr:row>
                    <xdr:rowOff>38100</xdr:rowOff>
                  </from>
                  <to>
                    <xdr:col>0</xdr:col>
                    <xdr:colOff>784860</xdr:colOff>
                    <xdr:row>20</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tabColor rgb="FFFF7C80"/>
    <pageSetUpPr fitToPage="1"/>
  </sheetPr>
  <dimension ref="A1:U29"/>
  <sheetViews>
    <sheetView showGridLines="0" showRowColHeaders="0" zoomScale="110" zoomScaleNormal="110" workbookViewId="0">
      <selection activeCell="B8" sqref="B8:J10"/>
    </sheetView>
  </sheetViews>
  <sheetFormatPr defaultColWidth="9.109375" defaultRowHeight="13.8" x14ac:dyDescent="0.25"/>
  <cols>
    <col min="1" max="1" width="13.6640625" style="1627" customWidth="1"/>
    <col min="2" max="3" width="9.109375" style="1628"/>
    <col min="4" max="4" width="11.33203125" style="1628" customWidth="1"/>
    <col min="5" max="8" width="9.109375" style="1628"/>
    <col min="9" max="9" width="24" style="1628" customWidth="1"/>
    <col min="10" max="10" width="10.6640625" style="1628" customWidth="1"/>
    <col min="11" max="16384" width="9.109375" style="1628"/>
  </cols>
  <sheetData>
    <row r="1" spans="2:21" ht="19.2" customHeight="1" x14ac:dyDescent="0.25"/>
    <row r="2" spans="2:21" ht="24" customHeight="1" x14ac:dyDescent="0.25">
      <c r="B2" s="1049" t="str">
        <f>IF(B3="","",'PR Part I Info'!B7:E7)</f>
        <v/>
      </c>
      <c r="C2" s="1049"/>
      <c r="D2" s="1049"/>
      <c r="E2" s="1629" t="str">
        <f>IF(E3="","",'PR Part I Info'!B11)</f>
        <v/>
      </c>
      <c r="F2" s="1630"/>
      <c r="G2" s="1049"/>
      <c r="H2" s="1049"/>
      <c r="I2" s="1049" t="str">
        <f>IF(I3="","",'PR Part I Info'!F11)</f>
        <v/>
      </c>
      <c r="J2" s="1051"/>
    </row>
    <row r="3" spans="2:21" ht="17.25" customHeight="1" x14ac:dyDescent="0.25">
      <c r="B3" s="1052" t="str">
        <f>IF('PR Part I Info'!B8="Enter Information from CP Form","",'PR Part I Info'!B8)</f>
        <v/>
      </c>
      <c r="C3" s="1052"/>
      <c r="D3" s="1052"/>
      <c r="E3" s="1574" t="str">
        <f>IF('PR Part I Info'!B12="Enter Information from CP Form","",'PR Part I Info'!B12)</f>
        <v/>
      </c>
      <c r="F3" s="1630"/>
      <c r="G3" s="1023"/>
      <c r="H3" s="1023"/>
      <c r="I3" s="1023" t="str">
        <f>IF('PR Part I Info'!F12="Enter Information from CP Form","",'PR Part I Info'!F12)</f>
        <v/>
      </c>
      <c r="J3" s="214"/>
    </row>
    <row r="4" spans="2:21" ht="18" customHeight="1" thickBot="1" x14ac:dyDescent="0.3">
      <c r="B4" s="1631" t="s">
        <v>1384</v>
      </c>
      <c r="C4" s="1631"/>
      <c r="D4" s="1631"/>
      <c r="E4" s="1631"/>
      <c r="F4" s="1632"/>
      <c r="G4" s="1632"/>
      <c r="H4" s="1632"/>
      <c r="I4" s="1632"/>
      <c r="J4" s="1632"/>
    </row>
    <row r="5" spans="2:21" ht="21" customHeight="1" thickBot="1" x14ac:dyDescent="0.3">
      <c r="B5" s="1633"/>
      <c r="C5" s="1634" t="s">
        <v>169</v>
      </c>
      <c r="D5" s="1635"/>
      <c r="E5" s="1635"/>
      <c r="F5" s="1635"/>
      <c r="G5" s="1635"/>
      <c r="H5" s="1635"/>
      <c r="I5" s="1635"/>
      <c r="J5" s="1636"/>
    </row>
    <row r="6" spans="2:21" ht="24" customHeight="1" thickBot="1" x14ac:dyDescent="0.3">
      <c r="B6" s="1637" t="s">
        <v>206</v>
      </c>
      <c r="C6" s="2159" t="s">
        <v>1379</v>
      </c>
      <c r="D6" s="2160"/>
      <c r="E6" s="2160"/>
      <c r="F6" s="2160"/>
      <c r="G6" s="2160"/>
      <c r="H6" s="2160"/>
      <c r="I6" s="2160"/>
      <c r="J6" s="2161"/>
      <c r="K6" s="1638"/>
      <c r="L6" s="1638"/>
      <c r="M6" s="102"/>
      <c r="N6" s="102"/>
      <c r="O6" s="102"/>
      <c r="P6" s="102"/>
      <c r="Q6" s="102"/>
      <c r="R6" s="102"/>
      <c r="S6" s="102"/>
      <c r="T6" s="102"/>
      <c r="U6" s="102"/>
    </row>
    <row r="7" spans="2:21" ht="24.75" customHeight="1" thickBot="1" x14ac:dyDescent="0.3">
      <c r="B7" s="1633"/>
      <c r="C7" s="1634" t="s">
        <v>788</v>
      </c>
      <c r="D7" s="1639"/>
      <c r="E7" s="1639"/>
      <c r="F7" s="1639"/>
      <c r="G7" s="1639"/>
      <c r="H7" s="1639"/>
      <c r="I7" s="1639"/>
      <c r="J7" s="1640"/>
    </row>
    <row r="8" spans="2:21" ht="23.25" customHeight="1" thickBot="1" x14ac:dyDescent="0.3">
      <c r="B8" s="1641" t="s">
        <v>207</v>
      </c>
      <c r="C8" s="2159" t="s">
        <v>1380</v>
      </c>
      <c r="D8" s="2160"/>
      <c r="E8" s="2160"/>
      <c r="F8" s="2160"/>
      <c r="G8" s="2160"/>
      <c r="H8" s="2160"/>
      <c r="I8" s="2160"/>
      <c r="J8" s="2161"/>
    </row>
    <row r="9" spans="2:21" ht="14.4" customHeight="1" x14ac:dyDescent="0.25">
      <c r="B9" s="1642"/>
      <c r="C9" s="1642"/>
      <c r="D9" s="1642"/>
      <c r="E9" s="1642"/>
      <c r="F9" s="1642"/>
      <c r="G9" s="1642"/>
      <c r="H9" s="1642"/>
      <c r="I9" s="1642"/>
      <c r="J9" s="1642"/>
    </row>
    <row r="10" spans="2:21" ht="19.5" customHeight="1" thickBot="1" x14ac:dyDescent="0.3">
      <c r="B10" s="1643" t="s">
        <v>1385</v>
      </c>
      <c r="C10"/>
      <c r="D10"/>
      <c r="E10"/>
      <c r="F10"/>
      <c r="G10"/>
      <c r="H10"/>
      <c r="I10"/>
      <c r="J10"/>
    </row>
    <row r="11" spans="2:21" ht="59.25" customHeight="1" x14ac:dyDescent="0.25">
      <c r="B11" s="2164" t="s">
        <v>1400</v>
      </c>
      <c r="C11" s="2165"/>
      <c r="D11" s="2165"/>
      <c r="E11" s="2165"/>
      <c r="F11" s="2165"/>
      <c r="G11" s="2165"/>
      <c r="H11" s="2165"/>
      <c r="I11" s="2165"/>
      <c r="J11" s="2166"/>
    </row>
    <row r="12" spans="2:21" ht="9" customHeight="1" x14ac:dyDescent="0.25">
      <c r="B12" s="10"/>
      <c r="C12"/>
      <c r="D12"/>
      <c r="E12"/>
      <c r="F12"/>
      <c r="G12"/>
      <c r="H12"/>
      <c r="I12"/>
      <c r="J12" s="17"/>
    </row>
    <row r="13" spans="2:21" ht="56.25" customHeight="1" x14ac:dyDescent="0.25">
      <c r="B13" s="2167" t="s">
        <v>1360</v>
      </c>
      <c r="C13" s="2168"/>
      <c r="D13" s="2168"/>
      <c r="E13" s="2168"/>
      <c r="F13" s="2168"/>
      <c r="G13" s="2168"/>
      <c r="H13" s="2168"/>
      <c r="I13" s="2168"/>
      <c r="J13" s="2169"/>
    </row>
    <row r="14" spans="2:21" ht="71.25" customHeight="1" thickBot="1" x14ac:dyDescent="0.3">
      <c r="B14" s="2170" t="s">
        <v>1359</v>
      </c>
      <c r="C14" s="2171"/>
      <c r="D14" s="2171"/>
      <c r="E14" s="2171"/>
      <c r="F14" s="2171"/>
      <c r="G14" s="2171"/>
      <c r="H14" s="2171"/>
      <c r="I14" s="2171"/>
      <c r="J14" s="2172"/>
    </row>
    <row r="15" spans="2:21" ht="21" customHeight="1" thickBot="1" x14ac:dyDescent="0.3">
      <c r="B15"/>
      <c r="C15"/>
      <c r="D15"/>
      <c r="E15"/>
      <c r="F15"/>
      <c r="G15"/>
      <c r="H15"/>
      <c r="I15"/>
      <c r="J15"/>
    </row>
    <row r="16" spans="2:21" ht="21" customHeight="1" thickBot="1" x14ac:dyDescent="0.3">
      <c r="B16" s="2156" t="s">
        <v>1393</v>
      </c>
      <c r="C16" s="2157"/>
      <c r="D16" s="2157"/>
      <c r="E16" s="2157"/>
      <c r="F16" s="2157"/>
      <c r="G16" s="2157"/>
      <c r="H16" s="2157"/>
      <c r="I16" s="2157"/>
      <c r="J16" s="2158"/>
    </row>
    <row r="17" spans="2:12" ht="36.9" customHeight="1" thickBot="1" x14ac:dyDescent="0.3">
      <c r="B17" s="2175" t="s">
        <v>1389</v>
      </c>
      <c r="C17" s="2176"/>
      <c r="D17" s="2176"/>
      <c r="E17" s="2176"/>
      <c r="F17" s="2176"/>
      <c r="G17" s="2176"/>
      <c r="H17" s="1828"/>
      <c r="I17" s="1828"/>
      <c r="J17" s="1829"/>
    </row>
    <row r="18" spans="2:12" ht="29.25" customHeight="1" thickBot="1" x14ac:dyDescent="0.3">
      <c r="B18" s="1644" t="s">
        <v>1390</v>
      </c>
      <c r="C18" s="1645"/>
      <c r="D18" s="1645"/>
      <c r="E18" s="1645"/>
      <c r="F18" s="1647"/>
      <c r="G18" s="1647"/>
      <c r="H18" s="1647"/>
      <c r="I18" s="1647"/>
      <c r="J18" s="1648"/>
    </row>
    <row r="19" spans="2:12" ht="21.75" customHeight="1" thickBot="1" x14ac:dyDescent="0.3">
      <c r="B19" s="1656" t="s">
        <v>660</v>
      </c>
      <c r="C19" s="1657"/>
      <c r="D19" s="1657"/>
      <c r="E19" s="1657"/>
      <c r="F19" s="1646"/>
      <c r="G19" s="1658"/>
      <c r="H19" s="2173"/>
      <c r="I19" s="2173"/>
      <c r="J19" s="2174"/>
    </row>
    <row r="20" spans="2:12" ht="36.9" customHeight="1" thickBot="1" x14ac:dyDescent="0.3">
      <c r="B20" s="2175" t="s">
        <v>1392</v>
      </c>
      <c r="C20" s="2176"/>
      <c r="D20" s="2176"/>
      <c r="E20" s="2176"/>
      <c r="F20" s="2176"/>
      <c r="G20" s="2176"/>
      <c r="H20" s="1824"/>
      <c r="I20" s="1824"/>
      <c r="J20" s="1825"/>
    </row>
    <row r="21" spans="2:12" ht="25.35" customHeight="1" thickBot="1" x14ac:dyDescent="0.3">
      <c r="B21" s="1644" t="s">
        <v>1391</v>
      </c>
      <c r="C21" s="1645"/>
      <c r="D21" s="1645"/>
      <c r="E21" s="1645"/>
      <c r="F21" s="1649"/>
      <c r="G21" s="1649"/>
      <c r="H21" s="1649"/>
      <c r="I21" s="1649"/>
      <c r="J21" s="1650"/>
    </row>
    <row r="22" spans="2:12" ht="25.35" customHeight="1" thickBot="1" x14ac:dyDescent="0.3">
      <c r="B22" s="2162" t="s">
        <v>660</v>
      </c>
      <c r="C22" s="2163"/>
      <c r="D22" s="1651"/>
      <c r="E22" s="1651"/>
      <c r="F22" s="1646"/>
      <c r="G22" s="1010"/>
      <c r="H22" s="1899"/>
      <c r="I22" s="1899"/>
      <c r="J22" s="1900"/>
    </row>
    <row r="23" spans="2:12" ht="25.2" customHeight="1" x14ac:dyDescent="0.25">
      <c r="B23" s="1652"/>
      <c r="C23" s="1652"/>
      <c r="D23" s="1653"/>
      <c r="E23" s="1653"/>
      <c r="F23" s="1654"/>
      <c r="G23" s="1654"/>
      <c r="H23" s="1654"/>
      <c r="I23" s="1654"/>
      <c r="J23" s="1654"/>
      <c r="L23" s="1655"/>
    </row>
    <row r="24" spans="2:12" ht="25.35" customHeight="1" x14ac:dyDescent="0.25">
      <c r="B24" s="2155"/>
      <c r="C24" s="2155"/>
      <c r="D24" s="2155"/>
      <c r="E24" s="2155"/>
      <c r="F24" s="2155"/>
      <c r="G24" s="2155"/>
      <c r="H24" s="2155"/>
      <c r="I24" s="2155"/>
      <c r="J24" s="2155"/>
    </row>
    <row r="25" spans="2:12" ht="25.2" customHeight="1" x14ac:dyDescent="0.25"/>
    <row r="26" spans="2:12" ht="10.95" customHeight="1" x14ac:dyDescent="0.25"/>
    <row r="27" spans="2:12" ht="18" customHeight="1" x14ac:dyDescent="0.25"/>
    <row r="29" spans="2:12" ht="1.2" customHeight="1" x14ac:dyDescent="0.25"/>
  </sheetData>
  <sheetProtection algorithmName="SHA-512" hashValue="ZXf5usFarcUbNS6CfGZYH1W63pQKfL1Uw5covG3stNwTSwvLPgJZADgdCaIu9yfRpLzvq4hQIcsP5/Q2SKXfOA==" saltValue="iSije4BngZIBMXC1odD5aw==" spinCount="100000" sheet="1" objects="1" scenarios="1" selectLockedCells="1"/>
  <protectedRanges>
    <protectedRange sqref="E9:J10 I21:J22 F21:H21 G22:H22" name="Range2"/>
  </protectedRanges>
  <customSheetViews>
    <customSheetView guid="{BC429C65-53B8-4F97-88D2-74ECCD734800}" showGridLines="0" showRowCol="0" state="hidden" topLeftCell="A13">
      <selection activeCell="B3" sqref="B3:J3"/>
      <pageMargins left="0.25" right="0.25" top="0.75" bottom="0" header="0" footer="0.3"/>
      <printOptions horizontalCentered="1"/>
      <pageSetup orientation="portrait" r:id="rId1"/>
      <headerFooter>
        <oddHeader>&amp;RPR</oddHeader>
      </headerFooter>
    </customSheetView>
  </customSheetViews>
  <mergeCells count="14">
    <mergeCell ref="B24:J24"/>
    <mergeCell ref="B16:J16"/>
    <mergeCell ref="C8:J8"/>
    <mergeCell ref="C6:J6"/>
    <mergeCell ref="B22:C22"/>
    <mergeCell ref="H17:J17"/>
    <mergeCell ref="H20:J20"/>
    <mergeCell ref="B11:J11"/>
    <mergeCell ref="B13:J13"/>
    <mergeCell ref="B14:J14"/>
    <mergeCell ref="H19:J19"/>
    <mergeCell ref="H22:J22"/>
    <mergeCell ref="B17:G17"/>
    <mergeCell ref="B20:G20"/>
  </mergeCells>
  <phoneticPr fontId="21" type="noConversion"/>
  <conditionalFormatting sqref="H22 H17 H19:H20">
    <cfRule type="expression" dxfId="4" priority="5" stopIfTrue="1">
      <formula>ISBLANK(H17)</formula>
    </cfRule>
  </conditionalFormatting>
  <conditionalFormatting sqref="H20">
    <cfRule type="expression" dxfId="3" priority="3">
      <formula>ISBLANK(H20)</formula>
    </cfRule>
  </conditionalFormatting>
  <printOptions horizontalCentered="1"/>
  <pageMargins left="0.25" right="0.25" top="0.36" bottom="0.25" header="0.25" footer="0.3"/>
  <pageSetup orientation="portrait" r:id="rId2"/>
  <headerFooter>
    <oddHeader>&amp;RPR</oddHeader>
    <oddFooter>&amp;LADEM Form 32 DRAFT &amp;C2/2025&amp;R*M9 DRAFT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1267" r:id="rId5" name="Option Button 3">
              <controlPr defaultSize="0" autoFill="0" autoLine="0" autoPict="0">
                <anchor moveWithCells="1">
                  <from>
                    <xdr:col>1</xdr:col>
                    <xdr:colOff>220980</xdr:colOff>
                    <xdr:row>4</xdr:row>
                    <xdr:rowOff>22860</xdr:rowOff>
                  </from>
                  <to>
                    <xdr:col>2</xdr:col>
                    <xdr:colOff>0</xdr:colOff>
                    <xdr:row>5</xdr:row>
                    <xdr:rowOff>0</xdr:rowOff>
                  </to>
                </anchor>
              </controlPr>
            </control>
          </mc:Choice>
        </mc:AlternateContent>
        <mc:AlternateContent xmlns:mc="http://schemas.openxmlformats.org/markup-compatibility/2006">
          <mc:Choice Requires="x14">
            <control shapeId="11268" r:id="rId6" name="Option Button 4">
              <controlPr defaultSize="0" autoFill="0" autoLine="0" autoPict="0">
                <anchor moveWithCells="1">
                  <from>
                    <xdr:col>1</xdr:col>
                    <xdr:colOff>213360</xdr:colOff>
                    <xdr:row>6</xdr:row>
                    <xdr:rowOff>45720</xdr:rowOff>
                  </from>
                  <to>
                    <xdr:col>2</xdr:col>
                    <xdr:colOff>0</xdr:colOff>
                    <xdr:row>7</xdr:row>
                    <xdr:rowOff>0</xdr:rowOff>
                  </to>
                </anchor>
              </controlPr>
            </control>
          </mc:Choice>
        </mc:AlternateContent>
        <mc:AlternateContent xmlns:mc="http://schemas.openxmlformats.org/markup-compatibility/2006">
          <mc:Choice Requires="x14">
            <control shapeId="11273" r:id="rId7" name="Button 9">
              <controlPr defaultSize="0" print="0" autoFill="0" autoPict="0" macro="[0]!deleteprsignatures">
                <anchor moveWithCells="1">
                  <from>
                    <xdr:col>0</xdr:col>
                    <xdr:colOff>198120</xdr:colOff>
                    <xdr:row>11</xdr:row>
                    <xdr:rowOff>30480</xdr:rowOff>
                  </from>
                  <to>
                    <xdr:col>0</xdr:col>
                    <xdr:colOff>792480</xdr:colOff>
                    <xdr:row>12</xdr:row>
                    <xdr:rowOff>541020</xdr:rowOff>
                  </to>
                </anchor>
              </controlPr>
            </control>
          </mc:Choice>
        </mc:AlternateContent>
        <mc:AlternateContent xmlns:mc="http://schemas.openxmlformats.org/markup-compatibility/2006">
          <mc:Choice Requires="x14">
            <control shapeId="11274" r:id="rId8" name="Option Button 10">
              <controlPr defaultSize="0" autoFill="0" autoLine="0" autoPict="0">
                <anchor moveWithCells="1">
                  <from>
                    <xdr:col>1</xdr:col>
                    <xdr:colOff>220980</xdr:colOff>
                    <xdr:row>4</xdr:row>
                    <xdr:rowOff>22860</xdr:rowOff>
                  </from>
                  <to>
                    <xdr:col>2</xdr:col>
                    <xdr:colOff>0</xdr:colOff>
                    <xdr:row>5</xdr:row>
                    <xdr:rowOff>0</xdr:rowOff>
                  </to>
                </anchor>
              </controlPr>
            </control>
          </mc:Choice>
        </mc:AlternateContent>
        <mc:AlternateContent xmlns:mc="http://schemas.openxmlformats.org/markup-compatibility/2006">
          <mc:Choice Requires="x14">
            <control shapeId="11275" r:id="rId9" name="Option Button 11">
              <controlPr defaultSize="0" autoFill="0" autoLine="0" autoPict="0">
                <anchor moveWithCells="1">
                  <from>
                    <xdr:col>1</xdr:col>
                    <xdr:colOff>213360</xdr:colOff>
                    <xdr:row>6</xdr:row>
                    <xdr:rowOff>45720</xdr:rowOff>
                  </from>
                  <to>
                    <xdr:col>2</xdr:col>
                    <xdr:colOff>0</xdr:colOff>
                    <xdr:row>7</xdr:row>
                    <xdr:rowOff>0</xdr:rowOff>
                  </to>
                </anchor>
              </controlPr>
            </control>
          </mc:Choice>
        </mc:AlternateContent>
        <mc:AlternateContent xmlns:mc="http://schemas.openxmlformats.org/markup-compatibility/2006">
          <mc:Choice Requires="x14">
            <control shapeId="2" r:id="rId10" name="Option Button 12">
              <controlPr defaultSize="0" autoFill="0" autoLine="0" autoPict="0">
                <anchor moveWithCells="1">
                  <from>
                    <xdr:col>1</xdr:col>
                    <xdr:colOff>220980</xdr:colOff>
                    <xdr:row>4</xdr:row>
                    <xdr:rowOff>22860</xdr:rowOff>
                  </from>
                  <to>
                    <xdr:col>2</xdr:col>
                    <xdr:colOff>0</xdr:colOff>
                    <xdr:row>5</xdr:row>
                    <xdr:rowOff>0</xdr:rowOff>
                  </to>
                </anchor>
              </controlPr>
            </control>
          </mc:Choice>
        </mc:AlternateContent>
        <mc:AlternateContent xmlns:mc="http://schemas.openxmlformats.org/markup-compatibility/2006">
          <mc:Choice Requires="x14">
            <control shapeId="11277" r:id="rId11" name="Option Button 13">
              <controlPr defaultSize="0" autoFill="0" autoLine="0" autoPict="0">
                <anchor moveWithCells="1">
                  <from>
                    <xdr:col>1</xdr:col>
                    <xdr:colOff>213360</xdr:colOff>
                    <xdr:row>6</xdr:row>
                    <xdr:rowOff>45720</xdr:rowOff>
                  </from>
                  <to>
                    <xdr:col>2</xdr:col>
                    <xdr:colOff>0</xdr:colOff>
                    <xdr:row>7</xdr:row>
                    <xdr:rowOff>0</xdr:rowOff>
                  </to>
                </anchor>
              </controlPr>
            </control>
          </mc:Choice>
        </mc:AlternateContent>
        <mc:AlternateContent xmlns:mc="http://schemas.openxmlformats.org/markup-compatibility/2006">
          <mc:Choice Requires="x14">
            <control shapeId="11278" r:id="rId12" name="Button 14">
              <controlPr defaultSize="0" print="0" autoFill="0" autoPict="0" macro="[0]!twelve">
                <anchor moveWithCells="1">
                  <from>
                    <xdr:col>0</xdr:col>
                    <xdr:colOff>182880</xdr:colOff>
                    <xdr:row>14</xdr:row>
                    <xdr:rowOff>716280</xdr:rowOff>
                  </from>
                  <to>
                    <xdr:col>0</xdr:col>
                    <xdr:colOff>754380</xdr:colOff>
                    <xdr:row>16</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rgb="FFFF7C80"/>
    <pageSetUpPr fitToPage="1"/>
  </sheetPr>
  <dimension ref="A1:L42"/>
  <sheetViews>
    <sheetView showGridLines="0" showRowColHeaders="0" zoomScale="110" zoomScaleNormal="110" workbookViewId="0">
      <pane xSplit="1" ySplit="1" topLeftCell="B13" activePane="bottomRight" state="frozen"/>
      <selection activeCell="F5" sqref="B5:J10"/>
      <selection pane="topRight" activeCell="F5" sqref="B5:J10"/>
      <selection pane="bottomLeft" activeCell="F5" sqref="B5:J10"/>
      <selection pane="bottomRight" activeCell="F5" sqref="B5:J10"/>
    </sheetView>
  </sheetViews>
  <sheetFormatPr defaultColWidth="9.109375" defaultRowHeight="15" x14ac:dyDescent="0.25"/>
  <cols>
    <col min="1" max="1" width="13.6640625" style="218" customWidth="1"/>
    <col min="2" max="2" width="13.33203125" style="213" customWidth="1"/>
    <col min="3" max="3" width="8.44140625" style="213" customWidth="1"/>
    <col min="4" max="4" width="21.44140625" style="213" customWidth="1"/>
    <col min="5" max="5" width="11.44140625" style="213" customWidth="1"/>
    <col min="6" max="6" width="7.5546875" style="213" customWidth="1"/>
    <col min="7" max="7" width="9.109375" style="213"/>
    <col min="8" max="8" width="10.109375" style="213" customWidth="1"/>
    <col min="9" max="16384" width="9.109375" style="213"/>
  </cols>
  <sheetData>
    <row r="1" spans="2:12" ht="19.2" customHeight="1" x14ac:dyDescent="0.25"/>
    <row r="2" spans="2:12" ht="19.2" customHeight="1" x14ac:dyDescent="0.25">
      <c r="B2" s="1049" t="str">
        <f>IF(B3="","",'PR Part I Info'!B7:E7)</f>
        <v/>
      </c>
      <c r="C2" s="1049"/>
      <c r="D2" s="1049" t="str">
        <f>IF(D3="","",'PR Part I Info'!B11)</f>
        <v/>
      </c>
      <c r="E2" s="1049"/>
      <c r="F2" s="1049"/>
      <c r="G2" s="1049"/>
      <c r="H2" s="1587" t="str">
        <f>IF(H3="","",'PR Part I Info'!F11)</f>
        <v/>
      </c>
      <c r="I2" s="1049"/>
      <c r="J2" s="1585"/>
    </row>
    <row r="3" spans="2:12" ht="19.2" customHeight="1" x14ac:dyDescent="0.25">
      <c r="B3" s="1052" t="str">
        <f>IF('PR Part I Info'!B8="Enter Information from CP Form","",'PR Part I Info'!B8)</f>
        <v/>
      </c>
      <c r="C3" s="1052"/>
      <c r="D3" s="1574" t="str">
        <f>IF('PR Part I Info'!B12="Enter Information from CP Form","",'PR Part I Info'!B12)</f>
        <v/>
      </c>
      <c r="E3" s="1023"/>
      <c r="F3" s="1023"/>
      <c r="G3" s="1023"/>
      <c r="H3" s="1028" t="str">
        <f>IF('PR Part I Info'!F12="Enter Information from CP Form","",'PR Part I Info'!F12)</f>
        <v/>
      </c>
      <c r="I3" s="1023"/>
      <c r="J3" s="1586"/>
    </row>
    <row r="4" spans="2:12" ht="15.9" customHeight="1" thickBot="1" x14ac:dyDescent="0.35">
      <c r="B4" s="22" t="s">
        <v>1386</v>
      </c>
      <c r="C4" s="214"/>
      <c r="D4" s="214"/>
      <c r="E4" s="214"/>
      <c r="F4" s="214"/>
      <c r="G4" s="214"/>
      <c r="H4" s="214"/>
      <c r="I4" s="214"/>
      <c r="J4" s="214"/>
    </row>
    <row r="5" spans="2:12" ht="15.9" customHeight="1" x14ac:dyDescent="0.25">
      <c r="B5" s="1810" t="s">
        <v>1216</v>
      </c>
      <c r="C5" s="1811"/>
      <c r="D5" s="1811"/>
      <c r="E5" s="1812"/>
      <c r="F5" s="1925"/>
      <c r="G5" s="1926"/>
      <c r="H5" s="1926"/>
      <c r="I5" s="1926"/>
      <c r="J5" s="1927"/>
    </row>
    <row r="6" spans="2:12" ht="15.9" customHeight="1" x14ac:dyDescent="0.25">
      <c r="B6" s="1813"/>
      <c r="C6" s="1814"/>
      <c r="D6" s="1814"/>
      <c r="E6" s="1815"/>
      <c r="F6" s="1928"/>
      <c r="G6" s="1929"/>
      <c r="H6" s="1929"/>
      <c r="I6" s="1929"/>
      <c r="J6" s="1930"/>
    </row>
    <row r="7" spans="2:12" ht="15.9" customHeight="1" thickBot="1" x14ac:dyDescent="0.3">
      <c r="B7" s="1918"/>
      <c r="C7" s="1919"/>
      <c r="D7" s="1919"/>
      <c r="E7" s="1920"/>
      <c r="F7" s="1931"/>
      <c r="G7" s="1932"/>
      <c r="H7" s="1932"/>
      <c r="I7" s="1932"/>
      <c r="J7" s="1933"/>
    </row>
    <row r="8" spans="2:12" ht="15.9" customHeight="1" x14ac:dyDescent="0.25">
      <c r="B8" s="1810" t="s">
        <v>1217</v>
      </c>
      <c r="C8" s="1811"/>
      <c r="D8" s="1811"/>
      <c r="E8" s="1812"/>
      <c r="F8" s="1952" t="str">
        <f>IF((F5+E25)=0,"",F5+E25)</f>
        <v/>
      </c>
      <c r="G8" s="1953"/>
      <c r="H8" s="1953"/>
      <c r="I8" s="1953"/>
      <c r="J8" s="1954"/>
    </row>
    <row r="9" spans="2:12" ht="15.9" customHeight="1" x14ac:dyDescent="0.25">
      <c r="B9" s="1813"/>
      <c r="C9" s="1814"/>
      <c r="D9" s="1814"/>
      <c r="E9" s="1815"/>
      <c r="F9" s="1955"/>
      <c r="G9" s="1956"/>
      <c r="H9" s="1956"/>
      <c r="I9" s="1956"/>
      <c r="J9" s="1957"/>
    </row>
    <row r="10" spans="2:12" ht="15.9" customHeight="1" thickBot="1" x14ac:dyDescent="0.3">
      <c r="B10" s="1918"/>
      <c r="C10" s="1919"/>
      <c r="D10" s="1919"/>
      <c r="E10" s="1920"/>
      <c r="F10" s="1958"/>
      <c r="G10" s="1959"/>
      <c r="H10" s="1959"/>
      <c r="I10" s="1959"/>
      <c r="J10" s="1960"/>
    </row>
    <row r="11" spans="2:12" ht="15.9" customHeight="1" x14ac:dyDescent="0.25">
      <c r="B11" s="1935" t="s">
        <v>1214</v>
      </c>
      <c r="C11" s="1936"/>
      <c r="D11" s="1936"/>
      <c r="E11" s="1936"/>
      <c r="F11" s="1937"/>
      <c r="G11" s="1961" t="str">
        <f>IF(F8="","",IF('CP Part I Total'!F23="","",(F8/('CP Part I Total'!F23))))</f>
        <v/>
      </c>
      <c r="H11" s="1962"/>
      <c r="I11" s="1962"/>
      <c r="J11" s="1963"/>
    </row>
    <row r="12" spans="2:12" ht="15.9" customHeight="1" thickBot="1" x14ac:dyDescent="0.3">
      <c r="B12" s="1938"/>
      <c r="C12" s="1939"/>
      <c r="D12" s="1939"/>
      <c r="E12" s="1939"/>
      <c r="F12" s="1940"/>
      <c r="G12" s="1964"/>
      <c r="H12" s="1965"/>
      <c r="I12" s="1965"/>
      <c r="J12" s="1966"/>
    </row>
    <row r="13" spans="2:12" ht="15.9" customHeight="1" x14ac:dyDescent="0.25">
      <c r="B13" s="214"/>
      <c r="C13" s="214"/>
      <c r="D13" s="214"/>
      <c r="E13" s="214"/>
      <c r="F13" s="214"/>
      <c r="G13" s="214"/>
      <c r="H13" s="214"/>
      <c r="I13" s="214"/>
      <c r="J13" s="214"/>
    </row>
    <row r="14" spans="2:12" ht="15.9" customHeight="1" thickBot="1" x14ac:dyDescent="0.35">
      <c r="B14" s="22" t="s">
        <v>1387</v>
      </c>
      <c r="C14" s="214"/>
      <c r="D14" s="214"/>
      <c r="E14" s="214"/>
      <c r="F14" s="1027"/>
      <c r="G14" s="214"/>
      <c r="H14" s="214"/>
      <c r="I14" s="22"/>
      <c r="J14" s="22"/>
      <c r="K14" s="1019"/>
      <c r="L14" s="1019"/>
    </row>
    <row r="15" spans="2:12" ht="15.9" customHeight="1" thickBot="1" x14ac:dyDescent="0.35">
      <c r="B15" s="1029"/>
      <c r="C15" s="1001"/>
      <c r="D15" s="1001"/>
      <c r="E15" s="1001"/>
      <c r="F15" s="1030"/>
      <c r="G15" s="2201" t="s">
        <v>195</v>
      </c>
      <c r="H15" s="2202"/>
      <c r="I15" s="2202"/>
      <c r="J15" s="2203"/>
      <c r="K15" s="1019"/>
      <c r="L15" s="1019"/>
    </row>
    <row r="16" spans="2:12" ht="15.9" customHeight="1" thickBot="1" x14ac:dyDescent="0.35">
      <c r="B16" s="549"/>
      <c r="C16" s="1031"/>
      <c r="D16" s="214"/>
      <c r="E16" s="2184" t="s">
        <v>192</v>
      </c>
      <c r="F16" s="2185"/>
      <c r="G16" s="2186" t="s">
        <v>193</v>
      </c>
      <c r="H16" s="2187"/>
      <c r="I16" s="2186" t="s">
        <v>194</v>
      </c>
      <c r="J16" s="2187"/>
      <c r="K16" s="1032"/>
      <c r="L16" s="1032"/>
    </row>
    <row r="17" spans="2:10" ht="15.9" customHeight="1" x14ac:dyDescent="0.25">
      <c r="B17" s="2177" t="s">
        <v>1215</v>
      </c>
      <c r="C17" s="2178"/>
      <c r="D17" s="1033"/>
      <c r="E17" s="1973">
        <f>SUM('PR Form "A" Office'!K125+'PR Form "B" Field'!K168+'PR Form "C" Drilling'!K61+'PR Form "D" Other'!K56)</f>
        <v>0</v>
      </c>
      <c r="F17" s="1974"/>
      <c r="G17" s="2193"/>
      <c r="H17" s="2194"/>
      <c r="I17" s="2193"/>
      <c r="J17" s="2194"/>
    </row>
    <row r="18" spans="2:10" ht="15.9" customHeight="1" thickBot="1" x14ac:dyDescent="0.3">
      <c r="B18" s="2179"/>
      <c r="C18" s="2180"/>
      <c r="D18" s="1034">
        <f>SUM(E19:F24)</f>
        <v>0</v>
      </c>
      <c r="E18" s="1976"/>
      <c r="F18" s="1977"/>
      <c r="G18" s="2197"/>
      <c r="H18" s="2198"/>
      <c r="I18" s="2197"/>
      <c r="J18" s="2198"/>
    </row>
    <row r="19" spans="2:10" ht="15.9" customHeight="1" x14ac:dyDescent="0.25">
      <c r="B19" s="1810" t="s">
        <v>762</v>
      </c>
      <c r="C19" s="1811"/>
      <c r="D19" s="1812"/>
      <c r="E19" s="1985"/>
      <c r="F19" s="1986"/>
      <c r="G19" s="2193"/>
      <c r="H19" s="2194"/>
      <c r="I19" s="2193"/>
      <c r="J19" s="2194"/>
    </row>
    <row r="20" spans="2:10" ht="15.9" customHeight="1" x14ac:dyDescent="0.25">
      <c r="B20" s="1813"/>
      <c r="C20" s="1814"/>
      <c r="D20" s="1815"/>
      <c r="E20" s="1981"/>
      <c r="F20" s="1982"/>
      <c r="G20" s="2195"/>
      <c r="H20" s="2196"/>
      <c r="I20" s="2195"/>
      <c r="J20" s="2196"/>
    </row>
    <row r="21" spans="2:10" ht="15.9" customHeight="1" thickBot="1" x14ac:dyDescent="0.3">
      <c r="B21" s="1918"/>
      <c r="C21" s="1919"/>
      <c r="D21" s="1920"/>
      <c r="E21" s="1983"/>
      <c r="F21" s="1984"/>
      <c r="G21" s="2197"/>
      <c r="H21" s="2198"/>
      <c r="I21" s="2197"/>
      <c r="J21" s="2198"/>
    </row>
    <row r="22" spans="2:10" ht="15.9" customHeight="1" x14ac:dyDescent="0.25">
      <c r="B22" s="1810" t="s">
        <v>763</v>
      </c>
      <c r="C22" s="1811"/>
      <c r="D22" s="1812"/>
      <c r="E22" s="1985"/>
      <c r="F22" s="1986"/>
      <c r="G22" s="2193"/>
      <c r="H22" s="2194"/>
      <c r="I22" s="2193"/>
      <c r="J22" s="2194"/>
    </row>
    <row r="23" spans="2:10" ht="15.9" customHeight="1" x14ac:dyDescent="0.25">
      <c r="B23" s="1813"/>
      <c r="C23" s="1814"/>
      <c r="D23" s="1815"/>
      <c r="E23" s="1981"/>
      <c r="F23" s="1982"/>
      <c r="G23" s="2195"/>
      <c r="H23" s="2196"/>
      <c r="I23" s="2195"/>
      <c r="J23" s="2196"/>
    </row>
    <row r="24" spans="2:10" ht="15.9" customHeight="1" thickBot="1" x14ac:dyDescent="0.3">
      <c r="B24" s="1918"/>
      <c r="C24" s="1919"/>
      <c r="D24" s="1920"/>
      <c r="E24" s="1983"/>
      <c r="F24" s="1984"/>
      <c r="G24" s="2197"/>
      <c r="H24" s="2198"/>
      <c r="I24" s="2197"/>
      <c r="J24" s="2198"/>
    </row>
    <row r="25" spans="2:10" ht="15.9" customHeight="1" x14ac:dyDescent="0.25">
      <c r="B25" s="2199" t="s">
        <v>129</v>
      </c>
      <c r="C25" s="2200"/>
      <c r="D25" s="2200"/>
      <c r="E25" s="1973">
        <f>E17-(D18)</f>
        <v>0</v>
      </c>
      <c r="F25" s="1974"/>
      <c r="G25" s="2193"/>
      <c r="H25" s="2194"/>
      <c r="I25" s="2193"/>
      <c r="J25" s="2194"/>
    </row>
    <row r="26" spans="2:10" ht="15.9" customHeight="1" thickBot="1" x14ac:dyDescent="0.3">
      <c r="B26" s="1971"/>
      <c r="C26" s="1972"/>
      <c r="D26" s="1972"/>
      <c r="E26" s="1976"/>
      <c r="F26" s="1977"/>
      <c r="G26" s="2197"/>
      <c r="H26" s="2198"/>
      <c r="I26" s="2197"/>
      <c r="J26" s="2198"/>
    </row>
    <row r="27" spans="2:10" ht="15.9" customHeight="1" thickBot="1" x14ac:dyDescent="0.3">
      <c r="B27" s="2188" t="s">
        <v>186</v>
      </c>
      <c r="C27" s="2189"/>
      <c r="D27" s="2190"/>
      <c r="E27" s="2181">
        <f>'CP Part I Total'!E36</f>
        <v>0</v>
      </c>
      <c r="F27" s="2183"/>
      <c r="G27" s="2191"/>
      <c r="H27" s="2192"/>
      <c r="I27" s="2191"/>
      <c r="J27" s="2192"/>
    </row>
    <row r="28" spans="2:10" ht="15.9" customHeight="1" thickBot="1" x14ac:dyDescent="0.3">
      <c r="B28" s="214"/>
      <c r="C28" s="214"/>
      <c r="D28" s="214"/>
      <c r="E28" s="214"/>
      <c r="F28" s="214"/>
      <c r="G28" s="214"/>
      <c r="H28" s="214"/>
      <c r="I28" s="214"/>
      <c r="J28" s="214"/>
    </row>
    <row r="29" spans="2:10" ht="15.9" customHeight="1" thickBot="1" x14ac:dyDescent="0.3">
      <c r="B29" s="1025" t="s">
        <v>1122</v>
      </c>
      <c r="C29" s="1001"/>
      <c r="D29" s="1001"/>
      <c r="E29" s="1001"/>
      <c r="F29" s="1001"/>
      <c r="G29" s="1001"/>
      <c r="H29" s="2181" t="str">
        <f>IF((E25-E27)&lt;=0,"",(E25-E27))</f>
        <v/>
      </c>
      <c r="I29" s="2182"/>
      <c r="J29" s="2183"/>
    </row>
    <row r="30" spans="2:10" ht="15.9" customHeight="1" thickBot="1" x14ac:dyDescent="0.35">
      <c r="B30" s="1035" t="s">
        <v>1221</v>
      </c>
      <c r="C30" s="1003"/>
      <c r="D30" s="1003"/>
      <c r="E30" s="1003"/>
      <c r="F30" s="1003"/>
      <c r="G30" s="1003"/>
      <c r="H30" s="1003"/>
      <c r="I30" s="1003"/>
      <c r="J30" s="960"/>
    </row>
    <row r="31" spans="2:10" ht="15.9" customHeight="1" x14ac:dyDescent="0.25">
      <c r="B31" s="1888"/>
      <c r="C31" s="1877"/>
      <c r="D31" s="1877"/>
      <c r="E31" s="1877"/>
      <c r="F31" s="1877"/>
      <c r="G31" s="1877"/>
      <c r="H31" s="1877"/>
      <c r="I31" s="1877"/>
      <c r="J31" s="1878"/>
    </row>
    <row r="32" spans="2:10" ht="15.9" customHeight="1" x14ac:dyDescent="0.25">
      <c r="B32" s="1889"/>
      <c r="C32" s="1890"/>
      <c r="D32" s="1890"/>
      <c r="E32" s="1890"/>
      <c r="F32" s="1890"/>
      <c r="G32" s="1890"/>
      <c r="H32" s="1890"/>
      <c r="I32" s="1890"/>
      <c r="J32" s="1891"/>
    </row>
    <row r="33" spans="2:10" ht="15.9" customHeight="1" thickBot="1" x14ac:dyDescent="0.3">
      <c r="B33" s="1879"/>
      <c r="C33" s="1880"/>
      <c r="D33" s="1880"/>
      <c r="E33" s="1880"/>
      <c r="F33" s="1880"/>
      <c r="G33" s="1880"/>
      <c r="H33" s="1880"/>
      <c r="I33" s="1880"/>
      <c r="J33" s="1881"/>
    </row>
    <row r="34" spans="2:10" ht="15.9" customHeight="1" x14ac:dyDescent="0.25">
      <c r="B34" s="214"/>
      <c r="C34" s="214"/>
      <c r="D34" s="214"/>
      <c r="E34" s="214"/>
      <c r="F34" s="214"/>
      <c r="G34" s="1031"/>
      <c r="H34" s="1031"/>
      <c r="I34" s="1031"/>
      <c r="J34" s="214"/>
    </row>
    <row r="35" spans="2:10" ht="15.9" customHeight="1" thickBot="1" x14ac:dyDescent="0.35">
      <c r="B35" s="22" t="s">
        <v>1388</v>
      </c>
      <c r="C35" s="214"/>
      <c r="D35" s="1031"/>
      <c r="E35" s="1031"/>
      <c r="F35" s="1031"/>
      <c r="G35" s="1031"/>
      <c r="H35" s="1031"/>
      <c r="I35" s="1031"/>
      <c r="J35" s="214"/>
    </row>
    <row r="36" spans="2:10" ht="15.9" customHeight="1" x14ac:dyDescent="0.25">
      <c r="B36" s="1036"/>
      <c r="C36" s="1037"/>
      <c r="D36" s="1038"/>
      <c r="E36" s="1038"/>
      <c r="F36" s="1038"/>
      <c r="G36" s="1038"/>
      <c r="H36" s="1038"/>
      <c r="I36" s="1038"/>
      <c r="J36" s="1039"/>
    </row>
    <row r="37" spans="2:10" ht="15.9" customHeight="1" thickBot="1" x14ac:dyDescent="0.3">
      <c r="B37" s="1040" t="s">
        <v>196</v>
      </c>
      <c r="C37" s="1041"/>
      <c r="D37" s="1042"/>
      <c r="E37" s="1042"/>
      <c r="F37" s="1042"/>
      <c r="G37" s="1042"/>
      <c r="H37" s="1043"/>
      <c r="I37" s="1044"/>
      <c r="J37" s="1045"/>
    </row>
    <row r="38" spans="2:10" ht="15.9" customHeight="1" x14ac:dyDescent="0.25">
      <c r="B38" s="1040"/>
      <c r="C38" s="1041"/>
      <c r="D38" s="1041"/>
      <c r="E38" s="1041" t="s">
        <v>657</v>
      </c>
      <c r="F38" s="1041"/>
      <c r="G38" s="1041"/>
      <c r="H38" s="1041"/>
      <c r="I38" s="1041" t="s">
        <v>170</v>
      </c>
      <c r="J38" s="1046"/>
    </row>
    <row r="39" spans="2:10" ht="15.9" customHeight="1" thickBot="1" x14ac:dyDescent="0.3">
      <c r="B39" s="1047" t="s">
        <v>197</v>
      </c>
      <c r="C39" s="1044"/>
      <c r="D39" s="1044"/>
      <c r="E39" s="1044"/>
      <c r="F39" s="1041" t="s">
        <v>200</v>
      </c>
      <c r="G39" s="1041"/>
      <c r="H39" s="1041"/>
      <c r="I39" s="1041"/>
      <c r="J39" s="1046"/>
    </row>
    <row r="40" spans="2:10" ht="15.9" customHeight="1" x14ac:dyDescent="0.25">
      <c r="B40" s="1040"/>
      <c r="C40" s="1041" t="s">
        <v>198</v>
      </c>
      <c r="D40" s="1041"/>
      <c r="E40" s="1041"/>
      <c r="F40" s="1041"/>
      <c r="G40" s="1041"/>
      <c r="H40" s="1041"/>
      <c r="I40" s="1041"/>
      <c r="J40" s="1046"/>
    </row>
    <row r="41" spans="2:10" ht="15.9" customHeight="1" thickBot="1" x14ac:dyDescent="0.3">
      <c r="B41" s="1047" t="s">
        <v>199</v>
      </c>
      <c r="C41" s="1044"/>
      <c r="D41" s="1044"/>
      <c r="E41" s="1044"/>
      <c r="F41" s="1044"/>
      <c r="G41" s="1044"/>
      <c r="H41" s="1044"/>
      <c r="I41" s="1044"/>
      <c r="J41" s="1048"/>
    </row>
    <row r="42" spans="2:10" ht="17.25" customHeight="1" x14ac:dyDescent="0.25"/>
  </sheetData>
  <sheetProtection algorithmName="SHA-512" hashValue="rPXIv8iQzbtM2FVScF3nIHnuKVWNobLXTcwxIWO7w1xvIqxOEKsUhEqXe8Wq6I/LoCltlkfeToJtkSNrywj0cw==" saltValue="zuF1IbOMchWDY0SgFpT3Qw==" spinCount="100000" sheet="1" objects="1" scenarios="1" selectLockedCells="1"/>
  <protectedRanges>
    <protectedRange sqref="F5:J7 E19:F24 B31:J33" name="Range2"/>
  </protectedRanges>
  <customSheetViews>
    <customSheetView guid="{BC429C65-53B8-4F97-88D2-74ECCD734800}" showGridLines="0" showRowCol="0" state="hidden">
      <pane xSplit="1" ySplit="1" topLeftCell="B2" activePane="bottomRight" state="frozen"/>
      <selection pane="bottomRight" activeCell="B3" sqref="B3:J3"/>
      <pageMargins left="0.25" right="0.25" top="0.75" bottom="0" header="0" footer="0.3"/>
      <printOptions horizontalCentered="1"/>
      <pageSetup orientation="portrait" r:id="rId1"/>
      <headerFooter>
        <oddHeader>&amp;RPR</oddHeader>
      </headerFooter>
    </customSheetView>
  </customSheetViews>
  <mergeCells count="32">
    <mergeCell ref="G25:H26"/>
    <mergeCell ref="I25:J26"/>
    <mergeCell ref="B25:D26"/>
    <mergeCell ref="E25:F26"/>
    <mergeCell ref="B5:E7"/>
    <mergeCell ref="B8:E10"/>
    <mergeCell ref="F5:J7"/>
    <mergeCell ref="F8:J10"/>
    <mergeCell ref="B11:F12"/>
    <mergeCell ref="I17:J18"/>
    <mergeCell ref="I16:J16"/>
    <mergeCell ref="G15:J15"/>
    <mergeCell ref="B22:D24"/>
    <mergeCell ref="G19:H21"/>
    <mergeCell ref="G22:H24"/>
    <mergeCell ref="E22:F24"/>
    <mergeCell ref="B17:C18"/>
    <mergeCell ref="B31:J33"/>
    <mergeCell ref="H29:J29"/>
    <mergeCell ref="G11:J12"/>
    <mergeCell ref="E16:F16"/>
    <mergeCell ref="G16:H16"/>
    <mergeCell ref="B19:D21"/>
    <mergeCell ref="B27:D27"/>
    <mergeCell ref="G27:H27"/>
    <mergeCell ref="I27:J27"/>
    <mergeCell ref="E27:F27"/>
    <mergeCell ref="I22:J24"/>
    <mergeCell ref="I19:J21"/>
    <mergeCell ref="E19:F21"/>
    <mergeCell ref="E17:F18"/>
    <mergeCell ref="G17:H18"/>
  </mergeCells>
  <phoneticPr fontId="21" type="noConversion"/>
  <conditionalFormatting sqref="F5:J7">
    <cfRule type="expression" dxfId="2" priority="14" stopIfTrue="1">
      <formula>ISBLANK(F5:J7)</formula>
    </cfRule>
  </conditionalFormatting>
  <conditionalFormatting sqref="H29 B31:J33">
    <cfRule type="expression" dxfId="1" priority="1">
      <formula>AND($E$27&lt;$E$25,ISBLANK($B$31:$J$33))</formula>
    </cfRule>
  </conditionalFormatting>
  <printOptions horizontalCentered="1"/>
  <pageMargins left="0.25" right="0.25" top="0" bottom="0" header="0" footer="0.3"/>
  <pageSetup orientation="portrait" r:id="rId2"/>
  <headerFooter>
    <oddHeader>&amp;RPR</oddHeader>
    <oddFooter>&amp;LADEM Form 32 DRAFT&amp;C2/2025&amp;R*M9 DRAFT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74" r:id="rId5" name="Button 6">
              <controlPr defaultSize="0" print="0" autoFill="0" autoPict="0" macro="[0]!deleteprsummary">
                <anchor moveWithCells="1">
                  <from>
                    <xdr:col>0</xdr:col>
                    <xdr:colOff>152400</xdr:colOff>
                    <xdr:row>13</xdr:row>
                    <xdr:rowOff>60960</xdr:rowOff>
                  </from>
                  <to>
                    <xdr:col>0</xdr:col>
                    <xdr:colOff>762000</xdr:colOff>
                    <xdr:row>16</xdr:row>
                    <xdr:rowOff>45720</xdr:rowOff>
                  </to>
                </anchor>
              </controlPr>
            </control>
          </mc:Choice>
        </mc:AlternateContent>
        <mc:AlternateContent xmlns:mc="http://schemas.openxmlformats.org/markup-compatibility/2006">
          <mc:Choice Requires="x14">
            <control shapeId="7175" r:id="rId6" name="Button 7">
              <controlPr defaultSize="0" print="0" autoFill="0" autoPict="0" macro="[0]!twelve">
                <anchor moveWithCells="1">
                  <from>
                    <xdr:col>0</xdr:col>
                    <xdr:colOff>160020</xdr:colOff>
                    <xdr:row>16</xdr:row>
                    <xdr:rowOff>175260</xdr:rowOff>
                  </from>
                  <to>
                    <xdr:col>0</xdr:col>
                    <xdr:colOff>746760</xdr:colOff>
                    <xdr:row>19</xdr:row>
                    <xdr:rowOff>106680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9">
    <tabColor rgb="FFFF7C80"/>
  </sheetPr>
  <dimension ref="A1:M126"/>
  <sheetViews>
    <sheetView showGridLines="0" showRowColHeaders="0" zoomScale="120" zoomScaleNormal="120" workbookViewId="0">
      <pane xSplit="1" ySplit="6" topLeftCell="B7" activePane="bottomRight" state="frozen"/>
      <selection activeCell="F5" sqref="B5:J10"/>
      <selection pane="topRight" activeCell="F5" sqref="B5:J10"/>
      <selection pane="bottomLeft" activeCell="F5" sqref="B5:J10"/>
      <selection pane="bottomRight" activeCell="F5" sqref="B5:J10"/>
    </sheetView>
  </sheetViews>
  <sheetFormatPr defaultColWidth="11.44140625" defaultRowHeight="13.2" x14ac:dyDescent="0.25"/>
  <cols>
    <col min="1" max="1" width="13.6640625" style="807" customWidth="1"/>
    <col min="2" max="4" width="11.44140625" style="808" customWidth="1"/>
    <col min="5" max="5" width="7.109375" style="808" customWidth="1"/>
    <col min="6" max="6" width="7.33203125" style="808" customWidth="1"/>
    <col min="7" max="7" width="7.6640625" style="808" customWidth="1"/>
    <col min="8" max="8" width="9.109375" style="846" customWidth="1"/>
    <col min="9" max="9" width="7.6640625" style="809" customWidth="1"/>
    <col min="10" max="10" width="8.33203125" style="809" customWidth="1"/>
    <col min="11" max="11" width="14.109375" style="810" customWidth="1"/>
    <col min="12" max="12" width="11.44140625" style="808"/>
    <col min="13" max="13" width="11.44140625" style="811"/>
    <col min="14" max="16384" width="11.44140625" style="808"/>
  </cols>
  <sheetData>
    <row r="1" spans="1:13" ht="19.2" customHeight="1" thickBot="1" x14ac:dyDescent="0.3">
      <c r="H1" s="808"/>
    </row>
    <row r="2" spans="1:13" ht="23.4" customHeight="1" thickBot="1" x14ac:dyDescent="0.3">
      <c r="B2" s="812" t="s">
        <v>879</v>
      </c>
      <c r="C2" s="813"/>
      <c r="D2" s="813"/>
      <c r="E2" s="813"/>
      <c r="F2" s="813"/>
      <c r="G2" s="813"/>
      <c r="H2" s="813"/>
      <c r="I2" s="813"/>
      <c r="J2" s="813"/>
      <c r="K2" s="814"/>
    </row>
    <row r="3" spans="1:13" ht="28.95" customHeight="1" thickBot="1" x14ac:dyDescent="0.3">
      <c r="B3" s="2204" t="s">
        <v>943</v>
      </c>
      <c r="C3" s="2205"/>
      <c r="D3" s="2205"/>
      <c r="E3" s="2205"/>
      <c r="F3" s="2205"/>
      <c r="G3" s="2205"/>
      <c r="H3" s="2205"/>
      <c r="I3" s="2205"/>
      <c r="J3" s="2205"/>
      <c r="K3" s="2206"/>
    </row>
    <row r="4" spans="1:13" ht="16.2" thickBot="1" x14ac:dyDescent="0.35">
      <c r="B4" s="2207" t="s">
        <v>976</v>
      </c>
      <c r="C4" s="2208"/>
      <c r="D4" s="2208"/>
      <c r="E4" s="2208"/>
      <c r="F4" s="2208"/>
      <c r="G4" s="2208"/>
      <c r="H4" s="2208"/>
      <c r="I4" s="2208"/>
      <c r="J4" s="2208"/>
      <c r="K4" s="2209"/>
    </row>
    <row r="5" spans="1:13" ht="13.8" x14ac:dyDescent="0.25">
      <c r="B5" s="815"/>
      <c r="C5" s="816"/>
      <c r="D5" s="816"/>
      <c r="E5" s="816"/>
      <c r="F5" s="816"/>
      <c r="G5" s="816"/>
      <c r="H5" s="817"/>
      <c r="I5" s="818"/>
      <c r="J5" s="818"/>
      <c r="K5" s="819"/>
    </row>
    <row r="6" spans="1:13" ht="13.8" x14ac:dyDescent="0.25">
      <c r="B6" s="820">
        <v>0</v>
      </c>
      <c r="C6" s="821"/>
      <c r="D6" s="821" t="s">
        <v>314</v>
      </c>
      <c r="E6" s="821"/>
      <c r="F6" s="821"/>
      <c r="G6" s="821"/>
      <c r="H6" s="822" t="s">
        <v>215</v>
      </c>
      <c r="I6" s="823" t="s">
        <v>126</v>
      </c>
      <c r="J6" s="823" t="s">
        <v>127</v>
      </c>
      <c r="K6" s="824" t="s">
        <v>967</v>
      </c>
    </row>
    <row r="7" spans="1:13" ht="13.8" x14ac:dyDescent="0.25">
      <c r="A7" s="825"/>
      <c r="B7" s="826"/>
      <c r="C7" s="44"/>
      <c r="D7" s="44"/>
      <c r="E7" s="44"/>
      <c r="F7" s="44"/>
      <c r="G7" s="44"/>
      <c r="H7" s="26"/>
      <c r="I7" s="827"/>
      <c r="J7" s="827"/>
      <c r="K7" s="828"/>
    </row>
    <row r="8" spans="1:13" x14ac:dyDescent="0.25">
      <c r="B8" s="51" t="s">
        <v>24</v>
      </c>
      <c r="C8" s="44"/>
      <c r="D8" s="44"/>
      <c r="E8" s="44"/>
      <c r="F8" s="44"/>
      <c r="G8" s="44"/>
      <c r="H8" s="26"/>
      <c r="I8" s="827"/>
      <c r="J8" s="827"/>
      <c r="K8" s="828"/>
    </row>
    <row r="9" spans="1:13" x14ac:dyDescent="0.25">
      <c r="B9" s="51" t="s">
        <v>432</v>
      </c>
      <c r="C9" s="44"/>
      <c r="D9" s="44"/>
      <c r="E9" s="44"/>
      <c r="F9" s="44"/>
      <c r="G9" s="44"/>
      <c r="H9" s="1222">
        <f>'Initial Abatement'!L19</f>
        <v>2330</v>
      </c>
      <c r="I9" s="829" t="str">
        <f>IF('Form "A" Office'!J9&lt;1,"",'Form "A" Office'!J9)</f>
        <v/>
      </c>
      <c r="J9" s="716"/>
      <c r="K9" s="1226" t="str">
        <f>IF(J9&lt;1,"",(H9*J9))</f>
        <v/>
      </c>
      <c r="M9" s="811" t="str">
        <f>IF(I9="","",(I9*H9))</f>
        <v/>
      </c>
    </row>
    <row r="10" spans="1:13" x14ac:dyDescent="0.25">
      <c r="B10" s="51" t="s">
        <v>23</v>
      </c>
      <c r="C10" s="44"/>
      <c r="D10" s="44"/>
      <c r="E10" s="44"/>
      <c r="F10" s="44"/>
      <c r="G10" s="44"/>
      <c r="H10" s="1222">
        <f>'Initial Abatement'!L41</f>
        <v>395</v>
      </c>
      <c r="I10" s="829" t="str">
        <f>IF('Form "A" Office'!J10&lt;1,"",'Form "A" Office'!J10)</f>
        <v/>
      </c>
      <c r="J10" s="716"/>
      <c r="K10" s="1226" t="str">
        <f t="shared" ref="K10:K80" si="0">IF(J10&lt;1,"",(H10*J10))</f>
        <v/>
      </c>
      <c r="M10" s="811" t="str">
        <f t="shared" ref="M10:M80" si="1">IF(I10="","",(I10*H10))</f>
        <v/>
      </c>
    </row>
    <row r="11" spans="1:13" x14ac:dyDescent="0.25">
      <c r="B11" s="51" t="s">
        <v>89</v>
      </c>
      <c r="C11" s="44"/>
      <c r="D11" s="44"/>
      <c r="E11" s="44"/>
      <c r="F11" s="44"/>
      <c r="G11" s="44"/>
      <c r="H11" s="1222">
        <f>'Initial Abatement'!L39</f>
        <v>558</v>
      </c>
      <c r="I11" s="829" t="str">
        <f>IF('Form "A" Office'!J11&lt;1,"",'Form "A" Office'!J11)</f>
        <v/>
      </c>
      <c r="J11" s="716"/>
      <c r="K11" s="1226" t="str">
        <f t="shared" si="0"/>
        <v/>
      </c>
      <c r="M11" s="811" t="str">
        <f t="shared" si="1"/>
        <v/>
      </c>
    </row>
    <row r="12" spans="1:13" x14ac:dyDescent="0.25">
      <c r="B12" s="51" t="s">
        <v>918</v>
      </c>
      <c r="C12" s="44"/>
      <c r="D12" s="44"/>
      <c r="E12" s="44"/>
      <c r="F12" s="44"/>
      <c r="G12" s="44"/>
      <c r="H12" s="1222">
        <f>'Prelm Rprt'!L17</f>
        <v>5734</v>
      </c>
      <c r="I12" s="829" t="str">
        <f>IF('Form "A" Office'!J12&lt;1,"",'Form "A" Office'!J12)</f>
        <v/>
      </c>
      <c r="J12" s="716"/>
      <c r="K12" s="1226" t="str">
        <f t="shared" si="0"/>
        <v/>
      </c>
      <c r="M12" s="811" t="str">
        <f t="shared" si="1"/>
        <v/>
      </c>
    </row>
    <row r="13" spans="1:13" x14ac:dyDescent="0.25">
      <c r="B13" s="51" t="s">
        <v>462</v>
      </c>
      <c r="C13" s="44"/>
      <c r="D13" s="44"/>
      <c r="E13" s="44"/>
      <c r="F13" s="44"/>
      <c r="G13" s="44"/>
      <c r="H13" s="1222">
        <f>'Prelm Rprt'!L32</f>
        <v>986</v>
      </c>
      <c r="I13" s="829" t="str">
        <f>IF('Form "A" Office'!J13&lt;1,"",'Form "A" Office'!J13)</f>
        <v/>
      </c>
      <c r="J13" s="716"/>
      <c r="K13" s="1226" t="str">
        <f t="shared" si="0"/>
        <v/>
      </c>
      <c r="M13" s="811" t="str">
        <f t="shared" si="1"/>
        <v/>
      </c>
    </row>
    <row r="14" spans="1:13" x14ac:dyDescent="0.25">
      <c r="B14" s="51" t="s">
        <v>346</v>
      </c>
      <c r="C14" s="44"/>
      <c r="D14" s="44"/>
      <c r="E14" s="44"/>
      <c r="F14" s="44"/>
      <c r="G14" s="44"/>
      <c r="H14" s="1222">
        <f>'Scdry additional well Plan Rpt'!L18</f>
        <v>6606</v>
      </c>
      <c r="I14" s="829" t="str">
        <f>IF('Form "A" Office'!J14&lt;1,"",'Form "A" Office'!J14)</f>
        <v/>
      </c>
      <c r="J14" s="716"/>
      <c r="K14" s="1226" t="str">
        <f t="shared" si="0"/>
        <v/>
      </c>
      <c r="M14" s="811" t="str">
        <f t="shared" si="1"/>
        <v/>
      </c>
    </row>
    <row r="15" spans="1:13" x14ac:dyDescent="0.25">
      <c r="B15" s="51" t="s">
        <v>748</v>
      </c>
      <c r="C15" s="44"/>
      <c r="D15" s="44"/>
      <c r="E15" s="44"/>
      <c r="F15" s="44"/>
      <c r="G15" s="44"/>
      <c r="H15" s="1222">
        <f>'Scdry additional well Plan Rpt'!L20</f>
        <v>176</v>
      </c>
      <c r="I15" s="829" t="str">
        <f>IF('Form "A" Office'!J15&lt;1,"",'Form "A" Office'!J15)</f>
        <v/>
      </c>
      <c r="J15" s="716"/>
      <c r="K15" s="1226" t="str">
        <f t="shared" si="0"/>
        <v/>
      </c>
      <c r="M15" s="811" t="str">
        <f t="shared" si="1"/>
        <v/>
      </c>
    </row>
    <row r="16" spans="1:13" x14ac:dyDescent="0.25">
      <c r="B16" s="51" t="s">
        <v>55</v>
      </c>
      <c r="C16" s="44"/>
      <c r="D16" s="44"/>
      <c r="E16" s="44"/>
      <c r="F16" s="44"/>
      <c r="G16" s="44"/>
      <c r="H16" s="1222">
        <f>'Scdry additional well Plan Rpt'!L118</f>
        <v>213.5</v>
      </c>
      <c r="I16" s="829" t="str">
        <f>IF('Form "A" Office'!J16&lt;1,"",'Form "A" Office'!J16)</f>
        <v/>
      </c>
      <c r="J16" s="716"/>
      <c r="K16" s="1226" t="str">
        <f t="shared" si="0"/>
        <v/>
      </c>
      <c r="M16" s="811" t="str">
        <f t="shared" si="1"/>
        <v/>
      </c>
    </row>
    <row r="17" spans="2:13" x14ac:dyDescent="0.25">
      <c r="B17" s="51" t="s">
        <v>472</v>
      </c>
      <c r="C17" s="44"/>
      <c r="D17" s="44"/>
      <c r="E17" s="44"/>
      <c r="F17" s="44"/>
      <c r="G17" s="44"/>
      <c r="H17" s="1222">
        <f>'Scdry additional well Plan Rpt'!L115</f>
        <v>305</v>
      </c>
      <c r="I17" s="829" t="str">
        <f>IF('Form "A" Office'!J17&lt;1,"",'Form "A" Office'!J17)</f>
        <v/>
      </c>
      <c r="J17" s="716"/>
      <c r="K17" s="1226" t="str">
        <f t="shared" si="0"/>
        <v/>
      </c>
      <c r="M17" s="811" t="str">
        <f t="shared" si="1"/>
        <v/>
      </c>
    </row>
    <row r="18" spans="2:13" x14ac:dyDescent="0.25">
      <c r="B18" s="51" t="s">
        <v>461</v>
      </c>
      <c r="C18" s="44"/>
      <c r="D18" s="44"/>
      <c r="E18" s="44"/>
      <c r="F18" s="44"/>
      <c r="G18" s="44"/>
      <c r="H18" s="1222">
        <f>'Scdry additional well Plan Rpt'!L108</f>
        <v>1736</v>
      </c>
      <c r="I18" s="829" t="str">
        <f>IF('Form "A" Office'!J18&lt;1,"",'Form "A" Office'!J18)</f>
        <v/>
      </c>
      <c r="J18" s="716"/>
      <c r="K18" s="1226" t="str">
        <f t="shared" si="0"/>
        <v/>
      </c>
      <c r="M18" s="811" t="str">
        <f t="shared" si="1"/>
        <v/>
      </c>
    </row>
    <row r="19" spans="2:13" x14ac:dyDescent="0.25">
      <c r="B19" s="51" t="s">
        <v>108</v>
      </c>
      <c r="C19" s="44"/>
      <c r="D19" s="44"/>
      <c r="E19" s="44"/>
      <c r="F19" s="44"/>
      <c r="G19" s="44"/>
      <c r="H19" s="1222">
        <f>'Scdry additional well Plan Rpt'!L36</f>
        <v>558</v>
      </c>
      <c r="I19" s="829" t="str">
        <f>IF('Form "A" Office'!J19&lt;1,"",'Form "A" Office'!J19)</f>
        <v/>
      </c>
      <c r="J19" s="716"/>
      <c r="K19" s="1226" t="str">
        <f t="shared" si="0"/>
        <v/>
      </c>
      <c r="M19" s="811" t="str">
        <f t="shared" si="1"/>
        <v/>
      </c>
    </row>
    <row r="20" spans="2:13" x14ac:dyDescent="0.25">
      <c r="B20" s="51" t="s">
        <v>109</v>
      </c>
      <c r="C20" s="44"/>
      <c r="D20" s="44"/>
      <c r="E20" s="44"/>
      <c r="F20" s="44"/>
      <c r="G20" s="44"/>
      <c r="H20" s="1222">
        <f>'Scdry additional well Plan Rpt'!L51</f>
        <v>958</v>
      </c>
      <c r="I20" s="829" t="str">
        <f>IF('Form "A" Office'!J20&lt;1,"",'Form "A" Office'!J20)</f>
        <v/>
      </c>
      <c r="J20" s="716"/>
      <c r="K20" s="1226" t="str">
        <f t="shared" si="0"/>
        <v/>
      </c>
      <c r="M20" s="811" t="str">
        <f t="shared" si="1"/>
        <v/>
      </c>
    </row>
    <row r="21" spans="2:13" x14ac:dyDescent="0.25">
      <c r="B21" s="51" t="s">
        <v>893</v>
      </c>
      <c r="C21" s="44"/>
      <c r="D21" s="44"/>
      <c r="E21" s="44"/>
      <c r="F21" s="44"/>
      <c r="G21" s="44"/>
      <c r="H21" s="1222">
        <f>'Scdry additional well Plan Rpt'!L70</f>
        <v>1364</v>
      </c>
      <c r="I21" s="829" t="str">
        <f>IF('Form "A" Office'!J21&lt;1,"",'Form "A" Office'!J21)</f>
        <v/>
      </c>
      <c r="J21" s="716"/>
      <c r="K21" s="1226" t="str">
        <f t="shared" si="0"/>
        <v/>
      </c>
      <c r="M21" s="811" t="str">
        <f t="shared" si="1"/>
        <v/>
      </c>
    </row>
    <row r="22" spans="2:13" x14ac:dyDescent="0.25">
      <c r="B22" s="51" t="s">
        <v>895</v>
      </c>
      <c r="C22" s="44"/>
      <c r="D22" s="44"/>
      <c r="E22" s="44"/>
      <c r="F22" s="44"/>
      <c r="G22" s="44"/>
      <c r="H22" s="1222">
        <f>'Scdry additional well Plan Rpt'!L89</f>
        <v>1662</v>
      </c>
      <c r="I22" s="829" t="str">
        <f>IF('Form "A" Office'!J22&lt;1,"",'Form "A" Office'!J22)</f>
        <v/>
      </c>
      <c r="J22" s="716"/>
      <c r="K22" s="1226" t="str">
        <f t="shared" si="0"/>
        <v/>
      </c>
      <c r="M22" s="811" t="str">
        <f>IF(I22="","",(I22*H22))</f>
        <v/>
      </c>
    </row>
    <row r="23" spans="2:13" x14ac:dyDescent="0.25">
      <c r="B23" s="51" t="s">
        <v>1218</v>
      </c>
      <c r="C23" s="44"/>
      <c r="D23" s="44"/>
      <c r="E23" s="44"/>
      <c r="F23" s="44"/>
      <c r="G23" s="44"/>
      <c r="H23" s="1222">
        <f>'Scdry additional well Plan Rpt'!L138</f>
        <v>2278</v>
      </c>
      <c r="I23" s="829" t="str">
        <f>IF('Form "A" Office'!J23&lt;1,"",'Form "A" Office'!J23)</f>
        <v/>
      </c>
      <c r="J23" s="788"/>
      <c r="K23" s="1226" t="str">
        <f t="shared" si="0"/>
        <v/>
      </c>
      <c r="M23" s="811" t="str">
        <f>IF(I23="","",(I23*H23))</f>
        <v/>
      </c>
    </row>
    <row r="24" spans="2:13" x14ac:dyDescent="0.25">
      <c r="B24" s="51" t="s">
        <v>1196</v>
      </c>
      <c r="C24" s="44"/>
      <c r="D24" s="44"/>
      <c r="E24" s="44"/>
      <c r="F24" s="44"/>
      <c r="G24" s="44"/>
      <c r="H24" s="1222">
        <f>'NAMR GWM PLAN RPRT'!L17</f>
        <v>586</v>
      </c>
      <c r="I24" s="829" t="str">
        <f>IF('Form "A" Office'!J24&lt;1,"",'Form "A" Office'!J24)</f>
        <v/>
      </c>
      <c r="J24" s="716"/>
      <c r="K24" s="1226" t="str">
        <f t="shared" si="0"/>
        <v/>
      </c>
      <c r="M24" s="811" t="str">
        <f t="shared" si="1"/>
        <v/>
      </c>
    </row>
    <row r="25" spans="2:13" x14ac:dyDescent="0.25">
      <c r="B25" s="51" t="s">
        <v>917</v>
      </c>
      <c r="C25" s="44"/>
      <c r="D25" s="44"/>
      <c r="E25" s="44"/>
      <c r="F25" s="44"/>
      <c r="G25" s="44"/>
      <c r="H25" s="1222"/>
      <c r="I25" s="830"/>
      <c r="J25" s="827"/>
      <c r="K25" s="1226"/>
    </row>
    <row r="26" spans="2:13" x14ac:dyDescent="0.25">
      <c r="B26" s="831">
        <v>0</v>
      </c>
      <c r="C26" s="44" t="s">
        <v>531</v>
      </c>
      <c r="D26" s="44"/>
      <c r="E26" s="44"/>
      <c r="F26" s="44"/>
      <c r="G26" s="44"/>
      <c r="H26" s="1222">
        <f>'NAMR GWM PLAN RPRT'!L36</f>
        <v>1384</v>
      </c>
      <c r="I26" s="829" t="str">
        <f>IF('Form "A" Office'!J26&lt;1,"",'Form "A" Office'!J26)</f>
        <v/>
      </c>
      <c r="J26" s="716"/>
      <c r="K26" s="1226" t="str">
        <f t="shared" si="0"/>
        <v/>
      </c>
      <c r="M26" s="811" t="str">
        <f t="shared" si="1"/>
        <v/>
      </c>
    </row>
    <row r="27" spans="2:13" x14ac:dyDescent="0.25">
      <c r="B27" s="831">
        <v>0</v>
      </c>
      <c r="C27" s="44" t="s">
        <v>406</v>
      </c>
      <c r="D27" s="44"/>
      <c r="E27" s="44"/>
      <c r="F27" s="44"/>
      <c r="G27" s="44"/>
      <c r="H27" s="1222">
        <f>'NAMR GWM PLAN RPRT'!L58</f>
        <v>1662</v>
      </c>
      <c r="I27" s="829" t="str">
        <f>IF('Form "A" Office'!J27&lt;1,"",'Form "A" Office'!J27)</f>
        <v/>
      </c>
      <c r="J27" s="716"/>
      <c r="K27" s="1226" t="str">
        <f t="shared" si="0"/>
        <v/>
      </c>
      <c r="M27" s="811" t="str">
        <f t="shared" si="1"/>
        <v/>
      </c>
    </row>
    <row r="28" spans="2:13" x14ac:dyDescent="0.25">
      <c r="B28" s="51" t="s">
        <v>754</v>
      </c>
      <c r="C28" s="44"/>
      <c r="D28" s="44"/>
      <c r="E28" s="44"/>
      <c r="F28" s="44"/>
      <c r="G28" s="44"/>
      <c r="H28" s="1223">
        <f>'NAMR GWM PLAN RPRT'!L38</f>
        <v>44</v>
      </c>
      <c r="I28" s="829" t="str">
        <f>IF('Form "A" Office'!J28&lt;1,"",'Form "A" Office'!J28)</f>
        <v/>
      </c>
      <c r="J28" s="716"/>
      <c r="K28" s="1226" t="str">
        <f t="shared" si="0"/>
        <v/>
      </c>
      <c r="M28" s="811" t="str">
        <f t="shared" si="1"/>
        <v/>
      </c>
    </row>
    <row r="29" spans="2:13" x14ac:dyDescent="0.25">
      <c r="B29" s="51" t="s">
        <v>530</v>
      </c>
      <c r="C29" s="44"/>
      <c r="D29" s="44"/>
      <c r="E29" s="44"/>
      <c r="F29" s="44"/>
      <c r="G29" s="44"/>
      <c r="H29" s="1223">
        <f>'NAMR GWM PLAN RPRT'!L63</f>
        <v>61.599999999999994</v>
      </c>
      <c r="I29" s="829" t="str">
        <f>IF('Form "A" Office'!J29&lt;1,"",'Form "A" Office'!J29)</f>
        <v/>
      </c>
      <c r="J29" s="716"/>
      <c r="K29" s="1226" t="str">
        <f t="shared" si="0"/>
        <v/>
      </c>
      <c r="M29" s="811" t="str">
        <f t="shared" si="1"/>
        <v/>
      </c>
    </row>
    <row r="30" spans="2:13" x14ac:dyDescent="0.25">
      <c r="B30" s="51"/>
      <c r="C30" s="44"/>
      <c r="D30" s="44"/>
      <c r="E30" s="44"/>
      <c r="F30" s="44"/>
      <c r="G30" s="44"/>
      <c r="H30" s="1222"/>
      <c r="I30" s="830"/>
      <c r="J30" s="827"/>
      <c r="K30" s="1226"/>
    </row>
    <row r="31" spans="2:13" x14ac:dyDescent="0.25">
      <c r="B31" s="51" t="s">
        <v>500</v>
      </c>
      <c r="C31" s="44"/>
      <c r="D31" s="44"/>
      <c r="E31" s="44"/>
      <c r="F31" s="44"/>
      <c r="G31" s="44"/>
      <c r="H31" s="1222">
        <f>'FP PlanReportMEMEField'!L17</f>
        <v>924</v>
      </c>
      <c r="I31" s="829" t="str">
        <f>IF('Form "A" Office'!J31&lt;1,"",'Form "A" Office'!J31)</f>
        <v/>
      </c>
      <c r="J31" s="716"/>
      <c r="K31" s="1226" t="str">
        <f t="shared" si="0"/>
        <v/>
      </c>
      <c r="M31" s="811" t="str">
        <f t="shared" si="1"/>
        <v/>
      </c>
    </row>
    <row r="32" spans="2:13" x14ac:dyDescent="0.25">
      <c r="B32" s="51" t="s">
        <v>616</v>
      </c>
      <c r="C32" s="44"/>
      <c r="D32" s="44"/>
      <c r="E32" s="44"/>
      <c r="F32" s="44"/>
      <c r="G32" s="44"/>
      <c r="H32" s="1222">
        <f>'FP PlanReportMEMEField'!L80</f>
        <v>1146</v>
      </c>
      <c r="I32" s="829" t="str">
        <f>IF('Form "A" Office'!J32&lt;1,"",'Form "A" Office'!J32)</f>
        <v/>
      </c>
      <c r="J32" s="716"/>
      <c r="K32" s="1226" t="str">
        <f t="shared" si="0"/>
        <v/>
      </c>
      <c r="M32" s="811" t="str">
        <f t="shared" si="1"/>
        <v/>
      </c>
    </row>
    <row r="33" spans="2:13" x14ac:dyDescent="0.25">
      <c r="B33" s="51" t="s">
        <v>268</v>
      </c>
      <c r="C33" s="44"/>
      <c r="D33" s="44"/>
      <c r="E33" s="44"/>
      <c r="F33" s="44"/>
      <c r="G33" s="44"/>
      <c r="H33" s="1222">
        <f>'FP PlanReportMEMEField'!L99</f>
        <v>1248</v>
      </c>
      <c r="I33" s="829" t="str">
        <f>IF('Form "A" Office'!J33&lt;1,"",'Form "A" Office'!J33)</f>
        <v/>
      </c>
      <c r="J33" s="716"/>
      <c r="K33" s="1226" t="str">
        <f t="shared" si="0"/>
        <v/>
      </c>
      <c r="M33" s="811" t="str">
        <f t="shared" si="1"/>
        <v/>
      </c>
    </row>
    <row r="34" spans="2:13" x14ac:dyDescent="0.25">
      <c r="B34" s="51" t="s">
        <v>1050</v>
      </c>
      <c r="C34" s="44"/>
      <c r="D34" s="44"/>
      <c r="E34" s="44"/>
      <c r="F34" s="44"/>
      <c r="G34" s="44"/>
      <c r="H34" s="1222">
        <f>'FP PlanReportMEMEField'!L142</f>
        <v>884</v>
      </c>
      <c r="I34" s="829" t="str">
        <f>IF('Form "A" Office'!J34&lt;1,"",'Form "A" Office'!J34)</f>
        <v/>
      </c>
      <c r="J34" s="716"/>
      <c r="K34" s="1226" t="str">
        <f t="shared" si="0"/>
        <v/>
      </c>
      <c r="M34" s="811" t="str">
        <f t="shared" si="1"/>
        <v/>
      </c>
    </row>
    <row r="35" spans="2:13" x14ac:dyDescent="0.25">
      <c r="B35" s="51" t="s">
        <v>1089</v>
      </c>
      <c r="C35" s="44"/>
      <c r="D35" s="44"/>
      <c r="E35" s="44"/>
      <c r="F35" s="44"/>
      <c r="G35" s="44"/>
      <c r="H35" s="1222">
        <f>'FP PlanReportMEMEField'!L161</f>
        <v>346</v>
      </c>
      <c r="I35" s="829" t="str">
        <f>IF('Form "A" Office'!J35&lt;1,"",'Form "A" Office'!J35)</f>
        <v/>
      </c>
      <c r="J35" s="716"/>
      <c r="K35" s="1226" t="str">
        <f t="shared" si="0"/>
        <v/>
      </c>
    </row>
    <row r="36" spans="2:13" hidden="1" x14ac:dyDescent="0.25">
      <c r="B36" s="51"/>
      <c r="C36" s="44"/>
      <c r="D36" s="44"/>
      <c r="E36" s="44"/>
      <c r="F36" s="44"/>
      <c r="G36" s="44"/>
      <c r="H36" s="1222"/>
      <c r="I36" s="832"/>
      <c r="J36"/>
      <c r="K36" s="1226"/>
    </row>
    <row r="37" spans="2:13" hidden="1" x14ac:dyDescent="0.25">
      <c r="B37" s="51"/>
      <c r="C37" s="44"/>
      <c r="D37" s="44"/>
      <c r="E37" s="44"/>
      <c r="F37" s="44"/>
      <c r="G37" s="44"/>
      <c r="H37" s="1222"/>
      <c r="I37" s="832"/>
      <c r="J37"/>
      <c r="K37" s="1226"/>
    </row>
    <row r="38" spans="2:13" hidden="1" x14ac:dyDescent="0.25">
      <c r="B38" s="51"/>
      <c r="C38" s="44"/>
      <c r="D38" s="44"/>
      <c r="E38" s="44"/>
      <c r="F38" s="44"/>
      <c r="G38" s="44"/>
      <c r="H38" s="1222"/>
      <c r="I38" s="832"/>
      <c r="J38"/>
      <c r="K38" s="1226"/>
    </row>
    <row r="39" spans="2:13" hidden="1" x14ac:dyDescent="0.25">
      <c r="B39" s="51"/>
      <c r="C39" s="44"/>
      <c r="D39" s="44"/>
      <c r="E39" s="44"/>
      <c r="F39" s="44"/>
      <c r="G39" s="44"/>
      <c r="H39" s="1222"/>
      <c r="I39" s="832"/>
      <c r="J39"/>
      <c r="K39" s="1226"/>
    </row>
    <row r="40" spans="2:13" hidden="1" x14ac:dyDescent="0.25">
      <c r="B40" s="51"/>
      <c r="C40" s="44"/>
      <c r="D40" s="44"/>
      <c r="E40" s="44"/>
      <c r="F40" s="44"/>
      <c r="G40" s="44"/>
      <c r="H40" s="1222"/>
      <c r="I40" s="832"/>
      <c r="J40"/>
      <c r="K40" s="1226"/>
    </row>
    <row r="41" spans="2:13" hidden="1" x14ac:dyDescent="0.25">
      <c r="B41" s="51"/>
      <c r="C41" s="44"/>
      <c r="D41" s="44"/>
      <c r="E41" s="44"/>
      <c r="F41" s="44"/>
      <c r="G41" s="44"/>
      <c r="H41" s="1222"/>
      <c r="I41" s="832"/>
      <c r="J41"/>
      <c r="K41" s="1226"/>
    </row>
    <row r="42" spans="2:13" hidden="1" x14ac:dyDescent="0.25">
      <c r="B42" s="51"/>
      <c r="C42" s="44"/>
      <c r="D42" s="44"/>
      <c r="E42" s="44"/>
      <c r="F42" s="44"/>
      <c r="G42" s="44"/>
      <c r="H42" s="1222"/>
      <c r="I42" s="832"/>
      <c r="J42"/>
      <c r="K42" s="1226"/>
    </row>
    <row r="43" spans="2:13" hidden="1" x14ac:dyDescent="0.25">
      <c r="B43" s="51"/>
      <c r="C43" s="44"/>
      <c r="D43" s="44"/>
      <c r="E43" s="44"/>
      <c r="F43" s="44"/>
      <c r="G43" s="44"/>
      <c r="H43" s="1222"/>
      <c r="I43" s="832"/>
      <c r="J43"/>
      <c r="K43" s="1226"/>
    </row>
    <row r="44" spans="2:13" hidden="1" x14ac:dyDescent="0.25">
      <c r="B44" s="51"/>
      <c r="C44" s="44"/>
      <c r="D44" s="44"/>
      <c r="E44" s="44"/>
      <c r="F44" s="44"/>
      <c r="G44" s="44"/>
      <c r="H44" s="1222"/>
      <c r="I44" s="832"/>
      <c r="J44"/>
      <c r="K44" s="1226"/>
    </row>
    <row r="45" spans="2:13" hidden="1" x14ac:dyDescent="0.25">
      <c r="B45" s="51"/>
      <c r="C45" s="44"/>
      <c r="D45" s="44"/>
      <c r="E45" s="44"/>
      <c r="F45" s="44"/>
      <c r="G45" s="44"/>
      <c r="H45" s="1222"/>
      <c r="I45" s="832"/>
      <c r="J45"/>
      <c r="K45" s="1226"/>
    </row>
    <row r="46" spans="2:13" x14ac:dyDescent="0.25">
      <c r="B46" s="51"/>
      <c r="C46" s="44"/>
      <c r="D46" s="44"/>
      <c r="E46" s="44"/>
      <c r="F46" s="44"/>
      <c r="G46" s="44"/>
      <c r="H46" s="1222"/>
      <c r="I46" s="832"/>
      <c r="J46" s="827"/>
      <c r="K46" s="1226"/>
    </row>
    <row r="47" spans="2:13" x14ac:dyDescent="0.25">
      <c r="B47" s="51" t="s">
        <v>972</v>
      </c>
      <c r="C47" s="44"/>
      <c r="D47" s="44"/>
      <c r="E47" s="44"/>
      <c r="F47" s="44"/>
      <c r="G47" s="44"/>
      <c r="H47" s="1224"/>
      <c r="I47" s="832"/>
      <c r="J47" s="827"/>
      <c r="K47" s="1226"/>
    </row>
    <row r="48" spans="2:13" x14ac:dyDescent="0.25">
      <c r="B48" s="831">
        <v>0</v>
      </c>
      <c r="C48" s="44" t="s">
        <v>531</v>
      </c>
      <c r="D48" s="44"/>
      <c r="E48" s="44"/>
      <c r="F48" s="44"/>
      <c r="G48" s="44"/>
      <c r="H48" s="1222">
        <f>ARBCA!L17</f>
        <v>4656</v>
      </c>
      <c r="I48" s="829" t="str">
        <f>IF('Form "A" Office'!J48&lt;1,"",'Form "A" Office'!J48)</f>
        <v/>
      </c>
      <c r="J48" s="716"/>
      <c r="K48" s="1226" t="str">
        <f t="shared" si="0"/>
        <v/>
      </c>
      <c r="M48" s="811" t="str">
        <f t="shared" si="1"/>
        <v/>
      </c>
    </row>
    <row r="49" spans="2:13" x14ac:dyDescent="0.25">
      <c r="B49" s="831">
        <v>0</v>
      </c>
      <c r="C49" s="44" t="s">
        <v>406</v>
      </c>
      <c r="D49" s="44"/>
      <c r="E49" s="44"/>
      <c r="F49" s="44"/>
      <c r="G49" s="44"/>
      <c r="H49" s="1222">
        <f>ARBCA!L35</f>
        <v>4934</v>
      </c>
      <c r="I49" s="829" t="str">
        <f>IF('Form "A" Office'!J49&lt;1,"",'Form "A" Office'!J49)</f>
        <v/>
      </c>
      <c r="J49" s="716"/>
      <c r="K49" s="1226" t="str">
        <f t="shared" si="0"/>
        <v/>
      </c>
      <c r="M49" s="811" t="str">
        <f t="shared" si="1"/>
        <v/>
      </c>
    </row>
    <row r="50" spans="2:13" x14ac:dyDescent="0.25">
      <c r="B50" s="51" t="s">
        <v>973</v>
      </c>
      <c r="C50" s="44"/>
      <c r="D50" s="44"/>
      <c r="E50" s="44"/>
      <c r="F50" s="44"/>
      <c r="G50" s="44"/>
      <c r="H50" s="1222"/>
      <c r="I50" s="830"/>
      <c r="J50" s="832"/>
      <c r="K50" s="1226"/>
    </row>
    <row r="51" spans="2:13" x14ac:dyDescent="0.25">
      <c r="B51" s="831">
        <v>0</v>
      </c>
      <c r="C51" s="44" t="s">
        <v>531</v>
      </c>
      <c r="D51" s="44"/>
      <c r="E51" s="44"/>
      <c r="F51" s="44"/>
      <c r="G51" s="44"/>
      <c r="H51" s="1222">
        <f>ARBCA!L53</f>
        <v>4656</v>
      </c>
      <c r="I51" s="829" t="str">
        <f>IF('Form "A" Office'!J51&lt;1,"",'Form "A" Office'!J51)</f>
        <v/>
      </c>
      <c r="J51" s="716"/>
      <c r="K51" s="1226" t="str">
        <f t="shared" si="0"/>
        <v/>
      </c>
      <c r="M51" s="811" t="str">
        <f t="shared" si="1"/>
        <v/>
      </c>
    </row>
    <row r="52" spans="2:13" x14ac:dyDescent="0.25">
      <c r="B52" s="831">
        <v>0</v>
      </c>
      <c r="C52" s="44" t="s">
        <v>406</v>
      </c>
      <c r="D52" s="44"/>
      <c r="E52" s="44"/>
      <c r="F52" s="44"/>
      <c r="G52" s="44"/>
      <c r="H52" s="1222">
        <f>ARBCA!L78</f>
        <v>4934</v>
      </c>
      <c r="I52" s="829" t="str">
        <f>IF('Form "A" Office'!J52&lt;1,"",'Form "A" Office'!J52)</f>
        <v/>
      </c>
      <c r="J52" s="716"/>
      <c r="K52" s="1226" t="str">
        <f t="shared" si="0"/>
        <v/>
      </c>
      <c r="M52" s="811" t="str">
        <f t="shared" si="1"/>
        <v/>
      </c>
    </row>
    <row r="53" spans="2:13" x14ac:dyDescent="0.25">
      <c r="B53" s="51" t="s">
        <v>1281</v>
      </c>
      <c r="C53" s="44"/>
      <c r="D53" s="44"/>
      <c r="E53" s="44"/>
      <c r="F53" s="44"/>
      <c r="G53" s="44"/>
      <c r="H53" s="1222">
        <f>ARBCA!L124</f>
        <v>600</v>
      </c>
      <c r="I53" s="829" t="str">
        <f>IF('Form "A" Office'!J53&lt;1,"",'Form "A" Office'!J53)</f>
        <v/>
      </c>
      <c r="J53" s="716"/>
      <c r="K53" s="1226" t="str">
        <f t="shared" si="0"/>
        <v/>
      </c>
    </row>
    <row r="54" spans="2:13" x14ac:dyDescent="0.25">
      <c r="B54" s="51" t="s">
        <v>1259</v>
      </c>
      <c r="C54" s="44"/>
      <c r="D54" s="44"/>
      <c r="E54" s="44"/>
      <c r="F54" s="44"/>
      <c r="G54" s="44"/>
      <c r="H54" s="1222">
        <f>ARBCA!L142</f>
        <v>944</v>
      </c>
      <c r="I54" s="829" t="str">
        <f>IF('Form "A" Office'!J54&lt;1,"",'Form "A" Office'!J54)</f>
        <v/>
      </c>
      <c r="J54" s="716"/>
      <c r="K54" s="1226" t="str">
        <f t="shared" si="0"/>
        <v/>
      </c>
    </row>
    <row r="55" spans="2:13" hidden="1" x14ac:dyDescent="0.25">
      <c r="B55" s="1287"/>
      <c r="C55" s="44"/>
      <c r="D55" s="44"/>
      <c r="E55" s="44"/>
      <c r="F55" s="44"/>
      <c r="G55" s="44"/>
      <c r="H55" s="1222"/>
      <c r="I55" s="830" t="str">
        <f>IF('Form "A" Office'!J55&lt;1,"",'Form "A" Office'!J55)</f>
        <v/>
      </c>
      <c r="J55" s="1369"/>
      <c r="K55" s="1226" t="str">
        <f t="shared" si="0"/>
        <v/>
      </c>
    </row>
    <row r="56" spans="2:13" x14ac:dyDescent="0.25">
      <c r="B56" s="51" t="s">
        <v>1276</v>
      </c>
      <c r="C56" s="44"/>
      <c r="D56" s="44"/>
      <c r="E56" s="44"/>
      <c r="F56" s="44"/>
      <c r="G56" s="44"/>
      <c r="H56" s="1223">
        <f>ARBCA!L81</f>
        <v>44</v>
      </c>
      <c r="I56" s="829" t="str">
        <f>IF('Form "A" Office'!J56&lt;1,"",'Form "A" Office'!J56)</f>
        <v/>
      </c>
      <c r="J56" s="716"/>
      <c r="K56" s="1226" t="str">
        <f t="shared" si="0"/>
        <v/>
      </c>
      <c r="M56" s="811" t="str">
        <f t="shared" si="1"/>
        <v/>
      </c>
    </row>
    <row r="57" spans="2:13" x14ac:dyDescent="0.25">
      <c r="B57" s="51" t="s">
        <v>1273</v>
      </c>
      <c r="C57" s="44"/>
      <c r="D57" s="44"/>
      <c r="E57" s="44"/>
      <c r="F57" s="44"/>
      <c r="G57" s="44"/>
      <c r="H57" s="1223">
        <f>ARBCA!L84</f>
        <v>52.8</v>
      </c>
      <c r="I57" s="829" t="str">
        <f>IF('Form "A" Office'!J57&lt;1,"",'Form "A" Office'!J57)</f>
        <v/>
      </c>
      <c r="J57" s="716"/>
      <c r="K57" s="1226" t="str">
        <f t="shared" si="0"/>
        <v/>
      </c>
      <c r="M57" s="811" t="str">
        <f t="shared" si="1"/>
        <v/>
      </c>
    </row>
    <row r="58" spans="2:13" x14ac:dyDescent="0.25">
      <c r="B58" s="51" t="s">
        <v>1274</v>
      </c>
      <c r="C58" s="44"/>
      <c r="D58" s="44"/>
      <c r="E58" s="44"/>
      <c r="F58" s="44"/>
      <c r="G58" s="44"/>
      <c r="H58" s="1222">
        <f>ARBCA!L87</f>
        <v>2670</v>
      </c>
      <c r="I58" s="829" t="str">
        <f>IF('Form "A" Office'!J58&lt;1,"",'Form "A" Office'!J58)</f>
        <v/>
      </c>
      <c r="J58" s="716"/>
      <c r="K58" s="1226" t="str">
        <f t="shared" si="0"/>
        <v/>
      </c>
      <c r="M58" s="811" t="str">
        <f t="shared" si="1"/>
        <v/>
      </c>
    </row>
    <row r="59" spans="2:13" x14ac:dyDescent="0.25">
      <c r="B59" s="51" t="s">
        <v>201</v>
      </c>
      <c r="C59" s="44"/>
      <c r="D59" s="44"/>
      <c r="E59" s="44"/>
      <c r="F59" s="44"/>
      <c r="G59" s="44"/>
      <c r="H59" s="1222">
        <f>ARBCA!L106</f>
        <v>4036</v>
      </c>
      <c r="I59" s="829" t="str">
        <f>IF('Form "A" Office'!J59&lt;1,"",'Form "A" Office'!J59)</f>
        <v/>
      </c>
      <c r="J59" s="716"/>
      <c r="K59" s="1226" t="str">
        <f t="shared" si="0"/>
        <v/>
      </c>
      <c r="M59" s="811" t="str">
        <f t="shared" si="1"/>
        <v/>
      </c>
    </row>
    <row r="60" spans="2:13" x14ac:dyDescent="0.25">
      <c r="B60" s="51"/>
      <c r="C60" s="44"/>
      <c r="D60" s="44"/>
      <c r="E60" s="44"/>
      <c r="F60" s="44"/>
      <c r="G60" s="44"/>
      <c r="H60" s="1222"/>
      <c r="I60" s="833"/>
      <c r="J60" s="827"/>
      <c r="K60" s="1226"/>
    </row>
    <row r="61" spans="2:13" x14ac:dyDescent="0.25">
      <c r="B61" s="51" t="s">
        <v>1198</v>
      </c>
      <c r="C61" s="44"/>
      <c r="D61" s="44"/>
      <c r="E61" s="44"/>
      <c r="F61" s="44"/>
      <c r="G61" s="44"/>
      <c r="H61" s="1222">
        <f>'Corrective Action Plans'!L17</f>
        <v>3988</v>
      </c>
      <c r="I61" s="829" t="str">
        <f>IF('Form "A" Office'!J61&lt;1,"",'Form "A" Office'!J61)</f>
        <v/>
      </c>
      <c r="J61" s="716"/>
      <c r="K61" s="1226" t="str">
        <f t="shared" si="0"/>
        <v/>
      </c>
      <c r="M61" s="811" t="str">
        <f t="shared" si="1"/>
        <v/>
      </c>
    </row>
    <row r="62" spans="2:13" x14ac:dyDescent="0.25">
      <c r="B62" s="51" t="s">
        <v>755</v>
      </c>
      <c r="C62" s="44"/>
      <c r="D62" s="44"/>
      <c r="E62" s="44"/>
      <c r="F62" s="44"/>
      <c r="G62" s="44"/>
      <c r="H62" s="1222">
        <f>'Corrective Action Plans'!L35</f>
        <v>1850</v>
      </c>
      <c r="I62" s="829" t="str">
        <f>IF('Form "A" Office'!J62&lt;1,"",'Form "A" Office'!J62)</f>
        <v/>
      </c>
      <c r="J62" s="716"/>
      <c r="K62" s="1226" t="str">
        <f t="shared" si="0"/>
        <v/>
      </c>
      <c r="M62" s="811" t="str">
        <f t="shared" si="1"/>
        <v/>
      </c>
    </row>
    <row r="63" spans="2:13" x14ac:dyDescent="0.25">
      <c r="B63" s="51" t="s">
        <v>546</v>
      </c>
      <c r="C63" s="44"/>
      <c r="D63" s="44"/>
      <c r="E63" s="44"/>
      <c r="F63" s="44"/>
      <c r="G63" s="44"/>
      <c r="H63" s="1222">
        <f>'Corrective Action Plans'!L53</f>
        <v>1972</v>
      </c>
      <c r="I63" s="829" t="str">
        <f>IF('Form "A" Office'!J63&lt;1,"",'Form "A" Office'!J63)</f>
        <v/>
      </c>
      <c r="J63" s="716"/>
      <c r="K63" s="1226" t="str">
        <f t="shared" si="0"/>
        <v/>
      </c>
      <c r="M63" s="811" t="str">
        <f t="shared" si="1"/>
        <v/>
      </c>
    </row>
    <row r="64" spans="2:13" x14ac:dyDescent="0.25">
      <c r="B64" s="51" t="s">
        <v>547</v>
      </c>
      <c r="C64" s="44"/>
      <c r="D64" s="44"/>
      <c r="E64" s="44"/>
      <c r="F64" s="44"/>
      <c r="G64" s="44"/>
      <c r="H64" s="1222">
        <f>'Corrective Action Plans'!L78</f>
        <v>1930</v>
      </c>
      <c r="I64" s="829" t="str">
        <f>IF('Form "A" Office'!J64&lt;1,"",'Form "A" Office'!J64)</f>
        <v/>
      </c>
      <c r="J64" s="716"/>
      <c r="K64" s="1226" t="str">
        <f t="shared" si="0"/>
        <v/>
      </c>
      <c r="M64" s="811" t="str">
        <f t="shared" si="1"/>
        <v/>
      </c>
    </row>
    <row r="65" spans="2:13" x14ac:dyDescent="0.25">
      <c r="B65" s="51" t="s">
        <v>317</v>
      </c>
      <c r="C65" s="44"/>
      <c r="D65" s="44"/>
      <c r="E65" s="44"/>
      <c r="F65" s="44"/>
      <c r="G65" s="44"/>
      <c r="H65" s="1222">
        <f>'Corrective Action Plans'!L96</f>
        <v>5442</v>
      </c>
      <c r="I65" s="829" t="str">
        <f>IF('Form "A" Office'!J65&lt;1,"",'Form "A" Office'!J65)</f>
        <v/>
      </c>
      <c r="J65" s="716"/>
      <c r="K65" s="1226" t="str">
        <f t="shared" si="0"/>
        <v/>
      </c>
      <c r="M65" s="811" t="str">
        <f t="shared" si="1"/>
        <v/>
      </c>
    </row>
    <row r="66" spans="2:13" ht="13.8" thickBot="1" x14ac:dyDescent="0.3">
      <c r="B66" s="52" t="s">
        <v>588</v>
      </c>
      <c r="C66" s="663"/>
      <c r="D66" s="663"/>
      <c r="E66" s="663"/>
      <c r="F66" s="663"/>
      <c r="G66" s="663"/>
      <c r="H66" s="1232">
        <f>'Corrective Action Plans'!L114</f>
        <v>8144</v>
      </c>
      <c r="I66" s="1107" t="str">
        <f>IF('Form "A" Office'!J66&lt;1,"",'Form "A" Office'!J66)</f>
        <v/>
      </c>
      <c r="J66" s="789"/>
      <c r="K66" s="1242" t="str">
        <f t="shared" si="0"/>
        <v/>
      </c>
      <c r="M66" s="811" t="str">
        <f t="shared" si="1"/>
        <v/>
      </c>
    </row>
    <row r="67" spans="2:13" x14ac:dyDescent="0.25">
      <c r="B67" s="834" t="s">
        <v>1199</v>
      </c>
      <c r="C67" s="835"/>
      <c r="D67" s="835"/>
      <c r="E67" s="835"/>
      <c r="F67" s="835"/>
      <c r="G67" s="835"/>
      <c r="H67" s="1231">
        <f>'Corrective Action Plans'!L139</f>
        <v>7186</v>
      </c>
      <c r="I67" s="1105" t="str">
        <f>IF('Form "A" Office'!J67&lt;1,"",'Form "A" Office'!J67)</f>
        <v/>
      </c>
      <c r="J67" s="847"/>
      <c r="K67" s="1227" t="str">
        <f t="shared" si="0"/>
        <v/>
      </c>
      <c r="M67" s="811" t="str">
        <f t="shared" si="1"/>
        <v/>
      </c>
    </row>
    <row r="68" spans="2:13" x14ac:dyDescent="0.25">
      <c r="B68" s="51" t="s">
        <v>590</v>
      </c>
      <c r="C68" s="44"/>
      <c r="D68" s="44"/>
      <c r="E68" s="44"/>
      <c r="F68" s="44"/>
      <c r="G68" s="44"/>
      <c r="H68" s="1225">
        <f>'Corrective Action Plans'!L157</f>
        <v>6626</v>
      </c>
      <c r="I68" s="854" t="str">
        <f>IF('Form "A" Office'!J68&lt;1,"",'Form "A" Office'!J68)</f>
        <v/>
      </c>
      <c r="J68" s="709"/>
      <c r="K68" s="1243" t="str">
        <f t="shared" si="0"/>
        <v/>
      </c>
      <c r="M68" s="811" t="str">
        <f t="shared" si="1"/>
        <v/>
      </c>
    </row>
    <row r="69" spans="2:13" x14ac:dyDescent="0.25">
      <c r="B69" s="51" t="s">
        <v>101</v>
      </c>
      <c r="C69" s="44"/>
      <c r="D69" s="44"/>
      <c r="E69" s="44"/>
      <c r="F69" s="44"/>
      <c r="G69" s="1303"/>
      <c r="H69" s="1471">
        <f>IF('PR Form "F" Details'!K68=0,0,'PR Form "F" Details'!K68)</f>
        <v>0</v>
      </c>
      <c r="I69" s="1168" t="str">
        <f>IF('Form "A" Office'!K69="","",'Form "A" Office'!K69)</f>
        <v/>
      </c>
      <c r="J69" s="1170" t="str">
        <f>IF(H69=0,"",1)</f>
        <v/>
      </c>
      <c r="K69" s="1226" t="str">
        <f>IF(J69="","",IF(I69="","",H69))</f>
        <v/>
      </c>
      <c r="M69" s="811" t="str">
        <f>IF(I69="","",(I69))</f>
        <v/>
      </c>
    </row>
    <row r="70" spans="2:13" x14ac:dyDescent="0.25">
      <c r="B70" s="51" t="s">
        <v>919</v>
      </c>
      <c r="C70" s="44"/>
      <c r="D70" s="44"/>
      <c r="E70" s="44"/>
      <c r="F70" s="44"/>
      <c r="G70" s="44"/>
      <c r="H70" s="1222">
        <f>'Corrective Action Reports Eng'!L17</f>
        <v>2416</v>
      </c>
      <c r="I70" s="855" t="str">
        <f>IF('Form "A" Office'!J70&lt;1,"",'Form "A" Office'!J70)</f>
        <v/>
      </c>
      <c r="J70" s="713"/>
      <c r="K70" s="1226" t="str">
        <f t="shared" si="0"/>
        <v/>
      </c>
      <c r="M70" s="811" t="str">
        <f t="shared" si="1"/>
        <v/>
      </c>
    </row>
    <row r="71" spans="2:13" x14ac:dyDescent="0.25">
      <c r="B71" s="51" t="s">
        <v>1090</v>
      </c>
      <c r="C71" s="44"/>
      <c r="D71" s="44"/>
      <c r="E71" s="44"/>
      <c r="F71" s="44"/>
      <c r="G71" s="44"/>
      <c r="H71" s="1222">
        <f>'Corrective Action Reports Eng'!L35</f>
        <v>3076</v>
      </c>
      <c r="I71" s="829" t="str">
        <f>IF('Form "A" Office'!J71&lt;1,"",'Form "A" Office'!J71)</f>
        <v/>
      </c>
      <c r="J71" s="716"/>
      <c r="K71" s="1226" t="str">
        <f t="shared" si="0"/>
        <v/>
      </c>
      <c r="M71" s="811" t="str">
        <f t="shared" si="1"/>
        <v/>
      </c>
    </row>
    <row r="72" spans="2:13" x14ac:dyDescent="0.25">
      <c r="B72" s="51" t="s">
        <v>920</v>
      </c>
      <c r="C72" s="44"/>
      <c r="D72" s="44"/>
      <c r="E72" s="44"/>
      <c r="F72" s="44"/>
      <c r="G72" s="44"/>
      <c r="H72" s="1222">
        <f>'Corrective Action Reports Eng'!L78</f>
        <v>8848</v>
      </c>
      <c r="I72" s="829" t="str">
        <f>IF('Form "A" Office'!J72&lt;1,"",'Form "A" Office'!J72)</f>
        <v/>
      </c>
      <c r="J72" s="716"/>
      <c r="K72" s="1226" t="str">
        <f t="shared" si="0"/>
        <v/>
      </c>
      <c r="M72" s="811" t="str">
        <f t="shared" si="1"/>
        <v/>
      </c>
    </row>
    <row r="73" spans="2:13" x14ac:dyDescent="0.25">
      <c r="B73" s="51" t="s">
        <v>527</v>
      </c>
      <c r="C73" s="44"/>
      <c r="D73" s="44"/>
      <c r="E73" s="44"/>
      <c r="F73" s="44"/>
      <c r="G73" s="44"/>
      <c r="H73" s="1222"/>
      <c r="I73" s="830"/>
      <c r="J73" s="827"/>
      <c r="K73" s="1226"/>
    </row>
    <row r="74" spans="2:13" x14ac:dyDescent="0.25">
      <c r="B74" s="831">
        <v>0</v>
      </c>
      <c r="C74" s="44" t="s">
        <v>531</v>
      </c>
      <c r="D74" s="44"/>
      <c r="E74" s="44"/>
      <c r="F74" s="44"/>
      <c r="G74" s="44"/>
      <c r="H74" s="1222">
        <f>'Corrective Action Reports Eng'!L96</f>
        <v>5774</v>
      </c>
      <c r="I74" s="829" t="str">
        <f>IF('Form "A" Office'!J74&lt;1,"",'Form "A" Office'!J74)</f>
        <v/>
      </c>
      <c r="J74" s="716"/>
      <c r="K74" s="1226" t="str">
        <f t="shared" si="0"/>
        <v/>
      </c>
      <c r="M74" s="811" t="str">
        <f t="shared" si="1"/>
        <v/>
      </c>
    </row>
    <row r="75" spans="2:13" x14ac:dyDescent="0.25">
      <c r="B75" s="831">
        <v>0</v>
      </c>
      <c r="C75" s="44" t="s">
        <v>406</v>
      </c>
      <c r="D75" s="44"/>
      <c r="E75" s="44"/>
      <c r="F75" s="44"/>
      <c r="G75" s="44"/>
      <c r="H75" s="1222">
        <f>'Corrective Action Reports Eng'!L114</f>
        <v>6052</v>
      </c>
      <c r="I75" s="829" t="str">
        <f>IF('Form "A" Office'!J75&lt;1,"",'Form "A" Office'!J75)</f>
        <v/>
      </c>
      <c r="J75" s="716"/>
      <c r="K75" s="1226" t="str">
        <f t="shared" si="0"/>
        <v/>
      </c>
      <c r="M75" s="811" t="str">
        <f t="shared" si="1"/>
        <v/>
      </c>
    </row>
    <row r="76" spans="2:13" x14ac:dyDescent="0.25">
      <c r="B76" s="51" t="s">
        <v>921</v>
      </c>
      <c r="C76" s="44"/>
      <c r="D76" s="44"/>
      <c r="E76" s="44"/>
      <c r="F76" s="44"/>
      <c r="G76" s="44"/>
      <c r="H76" s="1222"/>
      <c r="I76" s="830"/>
      <c r="J76" s="827"/>
      <c r="K76" s="1226"/>
    </row>
    <row r="77" spans="2:13" x14ac:dyDescent="0.25">
      <c r="B77" s="831">
        <v>0</v>
      </c>
      <c r="C77" s="44" t="s">
        <v>531</v>
      </c>
      <c r="D77" s="44"/>
      <c r="E77" s="44"/>
      <c r="F77" s="44"/>
      <c r="G77" s="44"/>
      <c r="H77" s="1222">
        <f>'Corrective Action Reports Eng'!L132</f>
        <v>5122</v>
      </c>
      <c r="I77" s="829" t="str">
        <f>IF('Form "A" Office'!J77&lt;1,"",'Form "A" Office'!J77)</f>
        <v/>
      </c>
      <c r="J77" s="716"/>
      <c r="K77" s="1226" t="str">
        <f t="shared" si="0"/>
        <v/>
      </c>
      <c r="M77" s="811" t="str">
        <f t="shared" si="1"/>
        <v/>
      </c>
    </row>
    <row r="78" spans="2:13" x14ac:dyDescent="0.25">
      <c r="B78" s="831">
        <v>0</v>
      </c>
      <c r="C78" s="44" t="s">
        <v>406</v>
      </c>
      <c r="D78" s="44"/>
      <c r="E78" s="44"/>
      <c r="F78" s="44"/>
      <c r="G78" s="44"/>
      <c r="H78" s="1222">
        <f>'Corrective Action Reports Eng'!L150</f>
        <v>5400</v>
      </c>
      <c r="I78" s="829" t="str">
        <f>IF('Form "A" Office'!J78&lt;1,"",'Form "A" Office'!J78)</f>
        <v/>
      </c>
      <c r="J78" s="716"/>
      <c r="K78" s="1226" t="str">
        <f t="shared" si="0"/>
        <v/>
      </c>
      <c r="M78" s="811" t="str">
        <f t="shared" si="1"/>
        <v/>
      </c>
    </row>
    <row r="79" spans="2:13" x14ac:dyDescent="0.25">
      <c r="B79" s="51" t="s">
        <v>532</v>
      </c>
      <c r="C79" s="44"/>
      <c r="D79" s="44"/>
      <c r="E79" s="44"/>
      <c r="F79" s="44"/>
      <c r="G79" s="44"/>
      <c r="H79" s="1223">
        <f>'Corrective Action Reports Eng'!L152</f>
        <v>44</v>
      </c>
      <c r="I79" s="829" t="str">
        <f>IF('Form "A" Office'!J79&lt;1,"",'Form "A" Office'!J79)</f>
        <v/>
      </c>
      <c r="J79" s="716"/>
      <c r="K79" s="1226" t="str">
        <f t="shared" si="0"/>
        <v/>
      </c>
      <c r="M79" s="811" t="str">
        <f t="shared" si="1"/>
        <v/>
      </c>
    </row>
    <row r="80" spans="2:13" x14ac:dyDescent="0.25">
      <c r="B80" s="51" t="s">
        <v>471</v>
      </c>
      <c r="C80" s="44"/>
      <c r="D80" s="44"/>
      <c r="E80" s="44"/>
      <c r="F80" s="44"/>
      <c r="G80" s="44"/>
      <c r="H80" s="1223">
        <f>'Corrective Action Reports Eng'!L155</f>
        <v>52.8</v>
      </c>
      <c r="I80" s="829" t="str">
        <f>IF('Form "A" Office'!J80&lt;1,"",'Form "A" Office'!J80)</f>
        <v/>
      </c>
      <c r="J80" s="716"/>
      <c r="K80" s="1226" t="str">
        <f t="shared" si="0"/>
        <v/>
      </c>
      <c r="M80" s="811" t="str">
        <f t="shared" si="1"/>
        <v/>
      </c>
    </row>
    <row r="81" spans="2:13" hidden="1" x14ac:dyDescent="0.25">
      <c r="B81" s="51"/>
      <c r="C81" s="44"/>
      <c r="D81" s="44"/>
      <c r="E81" s="44"/>
      <c r="F81" s="44"/>
      <c r="G81" s="44"/>
      <c r="H81" s="1223"/>
      <c r="I81"/>
      <c r="J81"/>
      <c r="K81" s="1226"/>
    </row>
    <row r="82" spans="2:13" hidden="1" x14ac:dyDescent="0.25">
      <c r="B82" s="51"/>
      <c r="C82" s="44"/>
      <c r="D82" s="44"/>
      <c r="E82" s="44"/>
      <c r="F82" s="44"/>
      <c r="G82" s="44"/>
      <c r="H82" s="1223"/>
      <c r="I82"/>
      <c r="J82"/>
      <c r="K82" s="1226"/>
    </row>
    <row r="83" spans="2:13" hidden="1" x14ac:dyDescent="0.25">
      <c r="B83" s="51"/>
      <c r="C83" s="44"/>
      <c r="D83" s="44"/>
      <c r="E83" s="44"/>
      <c r="F83" s="44"/>
      <c r="G83" s="44"/>
      <c r="H83" s="1223"/>
      <c r="I83"/>
      <c r="J83"/>
      <c r="K83" s="1226"/>
    </row>
    <row r="84" spans="2:13" hidden="1" x14ac:dyDescent="0.25">
      <c r="B84" s="51"/>
      <c r="C84" s="44"/>
      <c r="D84" s="44"/>
      <c r="E84" s="44"/>
      <c r="F84" s="44"/>
      <c r="G84" s="44"/>
      <c r="H84" s="1223"/>
      <c r="I84"/>
      <c r="J84"/>
      <c r="K84" s="1226"/>
    </row>
    <row r="85" spans="2:13" hidden="1" x14ac:dyDescent="0.25">
      <c r="B85" s="51"/>
      <c r="C85" s="44"/>
      <c r="D85" s="44"/>
      <c r="E85" s="44"/>
      <c r="F85" s="44"/>
      <c r="G85" s="44"/>
      <c r="H85" s="1223"/>
      <c r="I85"/>
      <c r="J85"/>
      <c r="K85" s="1226"/>
    </row>
    <row r="86" spans="2:13" hidden="1" x14ac:dyDescent="0.25">
      <c r="B86" s="51"/>
      <c r="C86" s="44"/>
      <c r="D86" s="44"/>
      <c r="E86" s="44"/>
      <c r="F86" s="44"/>
      <c r="G86" s="44"/>
      <c r="H86" s="1223"/>
      <c r="I86"/>
      <c r="J86"/>
      <c r="K86" s="1226"/>
    </row>
    <row r="87" spans="2:13" hidden="1" x14ac:dyDescent="0.25">
      <c r="B87" s="51"/>
      <c r="C87" s="44"/>
      <c r="D87" s="44"/>
      <c r="E87" s="44"/>
      <c r="F87" s="44"/>
      <c r="G87" s="44"/>
      <c r="H87" s="1223"/>
      <c r="I87"/>
      <c r="J87"/>
      <c r="K87" s="1226"/>
    </row>
    <row r="88" spans="2:13" hidden="1" x14ac:dyDescent="0.25">
      <c r="B88" s="51"/>
      <c r="C88" s="44"/>
      <c r="D88" s="44"/>
      <c r="E88" s="44"/>
      <c r="F88" s="44"/>
      <c r="G88" s="44"/>
      <c r="H88" s="1223"/>
      <c r="I88"/>
      <c r="J88"/>
      <c r="K88" s="1226"/>
    </row>
    <row r="89" spans="2:13" x14ac:dyDescent="0.25">
      <c r="B89" s="51"/>
      <c r="C89" s="44"/>
      <c r="D89" s="44"/>
      <c r="E89" s="44"/>
      <c r="F89" s="44"/>
      <c r="G89" s="44"/>
      <c r="H89" s="1223"/>
      <c r="I89"/>
      <c r="J89"/>
      <c r="K89" s="1226"/>
    </row>
    <row r="90" spans="2:13" x14ac:dyDescent="0.25">
      <c r="B90" s="51" t="s">
        <v>74</v>
      </c>
      <c r="C90" s="44"/>
      <c r="D90" s="44"/>
      <c r="E90" s="44"/>
      <c r="F90" s="44"/>
      <c r="G90" s="44"/>
      <c r="H90" s="1222">
        <f>'MISC Plans Reports'!L17</f>
        <v>668</v>
      </c>
      <c r="I90" s="829" t="str">
        <f>IF('Form "A" Office'!J90&lt;1,"",'Form "A" Office'!J90)</f>
        <v/>
      </c>
      <c r="J90" s="716"/>
      <c r="K90" s="1226" t="str">
        <f t="shared" ref="K90:K111" si="2">IF(J90&lt;1,"",(H90*J90))</f>
        <v/>
      </c>
    </row>
    <row r="91" spans="2:13" x14ac:dyDescent="0.25">
      <c r="B91" s="51" t="s">
        <v>75</v>
      </c>
      <c r="C91" s="44"/>
      <c r="D91" s="44"/>
      <c r="E91" s="44"/>
      <c r="F91" s="44"/>
      <c r="G91" s="44"/>
      <c r="H91" s="1222">
        <f>'MISC Plans Reports'!L35</f>
        <v>1072</v>
      </c>
      <c r="I91" s="829" t="str">
        <f>IF('Form "A" Office'!J91&lt;1,"",'Form "A" Office'!J91)</f>
        <v/>
      </c>
      <c r="J91" s="716"/>
      <c r="K91" s="1226" t="str">
        <f t="shared" si="2"/>
        <v/>
      </c>
    </row>
    <row r="92" spans="2:13" x14ac:dyDescent="0.25">
      <c r="B92" s="51" t="s">
        <v>64</v>
      </c>
      <c r="C92" s="44"/>
      <c r="D92" s="44"/>
      <c r="E92" s="44"/>
      <c r="F92" s="44"/>
      <c r="G92" s="44"/>
      <c r="H92" s="1222">
        <f>'Aquifer Pilot Pl Rpt Fld'!L53</f>
        <v>1250</v>
      </c>
      <c r="I92" s="829" t="str">
        <f>IF('Form "A" Office'!J92&lt;1,"",'Form "A" Office'!J92)</f>
        <v/>
      </c>
      <c r="J92" s="716"/>
      <c r="K92" s="1226" t="str">
        <f t="shared" si="2"/>
        <v/>
      </c>
      <c r="M92" s="811" t="str">
        <f t="shared" ref="M92:M112" si="3">IF(I90="","",(I90*H90))</f>
        <v/>
      </c>
    </row>
    <row r="93" spans="2:13" x14ac:dyDescent="0.25">
      <c r="B93" s="51" t="s">
        <v>140</v>
      </c>
      <c r="C93" s="44"/>
      <c r="D93" s="44"/>
      <c r="E93" s="44"/>
      <c r="F93" s="44"/>
      <c r="G93" s="44"/>
      <c r="H93" s="1222">
        <f>'Aquifer Pilot Pl Rpt Fld'!L71</f>
        <v>1964</v>
      </c>
      <c r="I93" s="829" t="str">
        <f>IF('Form "A" Office'!J93&lt;1,"",'Form "A" Office'!J93)</f>
        <v/>
      </c>
      <c r="J93" s="716"/>
      <c r="K93" s="1226" t="str">
        <f t="shared" si="2"/>
        <v/>
      </c>
      <c r="M93" s="811" t="str">
        <f t="shared" si="3"/>
        <v/>
      </c>
    </row>
    <row r="94" spans="2:13" x14ac:dyDescent="0.25">
      <c r="B94" s="51" t="s">
        <v>65</v>
      </c>
      <c r="C94" s="44"/>
      <c r="D94" s="44"/>
      <c r="E94" s="44"/>
      <c r="F94" s="44"/>
      <c r="G94" s="44"/>
      <c r="H94" s="1222">
        <f>'Aquifer Pilot Pl Rpt Fld'!L89</f>
        <v>1250</v>
      </c>
      <c r="I94" s="829" t="str">
        <f>IF('Form "A" Office'!J94&lt;1,"",'Form "A" Office'!J94)</f>
        <v/>
      </c>
      <c r="J94" s="716"/>
      <c r="K94" s="1226" t="str">
        <f t="shared" si="2"/>
        <v/>
      </c>
      <c r="M94" s="811" t="str">
        <f t="shared" si="3"/>
        <v/>
      </c>
    </row>
    <row r="95" spans="2:13" x14ac:dyDescent="0.25">
      <c r="B95" s="51" t="s">
        <v>145</v>
      </c>
      <c r="C95" s="44"/>
      <c r="D95" s="44"/>
      <c r="E95" s="44"/>
      <c r="F95" s="44"/>
      <c r="G95" s="44"/>
      <c r="H95" s="1222">
        <f>'Aquifer Pilot Pl Rpt Fld'!L107</f>
        <v>1964</v>
      </c>
      <c r="I95" s="829" t="str">
        <f>IF('Form "A" Office'!J95&lt;1,"",'Form "A" Office'!J95)</f>
        <v/>
      </c>
      <c r="J95" s="716"/>
      <c r="K95" s="1226" t="str">
        <f t="shared" si="2"/>
        <v/>
      </c>
      <c r="M95" s="811" t="str">
        <f t="shared" si="3"/>
        <v/>
      </c>
    </row>
    <row r="96" spans="2:13" x14ac:dyDescent="0.25">
      <c r="B96" s="51" t="s">
        <v>1277</v>
      </c>
      <c r="C96" s="44"/>
      <c r="D96" s="44"/>
      <c r="E96" s="44"/>
      <c r="F96" s="44"/>
      <c r="G96" s="44"/>
      <c r="H96" s="1222">
        <f>'Aquifer Pilot Pl Rpt Fld'!L125</f>
        <v>1250</v>
      </c>
      <c r="I96" s="829" t="str">
        <f>IF('Form "A" Office'!J96&lt;1,"",'Form "A" Office'!J96)</f>
        <v/>
      </c>
      <c r="J96" s="716"/>
      <c r="K96" s="1226" t="str">
        <f t="shared" si="2"/>
        <v/>
      </c>
      <c r="M96" s="811" t="str">
        <f t="shared" si="3"/>
        <v/>
      </c>
    </row>
    <row r="97" spans="2:13" x14ac:dyDescent="0.25">
      <c r="B97" s="51" t="s">
        <v>1278</v>
      </c>
      <c r="C97" s="44"/>
      <c r="D97" s="44"/>
      <c r="E97" s="44"/>
      <c r="F97" s="44"/>
      <c r="G97" s="44"/>
      <c r="H97" s="1222">
        <f>'Aquifer Pilot Pl Rpt Fld'!L143</f>
        <v>2168</v>
      </c>
      <c r="I97" s="829" t="str">
        <f>IF('Form "A" Office'!J97&lt;1,"",'Form "A" Office'!J97)</f>
        <v/>
      </c>
      <c r="J97" s="716"/>
      <c r="K97" s="1226" t="str">
        <f t="shared" si="2"/>
        <v/>
      </c>
      <c r="M97" s="811" t="str">
        <f t="shared" si="3"/>
        <v/>
      </c>
    </row>
    <row r="98" spans="2:13" x14ac:dyDescent="0.25">
      <c r="B98" s="51" t="s">
        <v>585</v>
      </c>
      <c r="C98" s="44"/>
      <c r="D98" s="44"/>
      <c r="E98" s="44"/>
      <c r="F98" s="44"/>
      <c r="G98" s="44"/>
      <c r="H98" s="1222">
        <f>'Aquifer Pilot Pl Rpt Fld'!L17</f>
        <v>424</v>
      </c>
      <c r="I98" s="829" t="str">
        <f>IF('Form "A" Office'!J98&lt;1,"",'Form "A" Office'!J98)</f>
        <v/>
      </c>
      <c r="J98" s="716"/>
      <c r="K98" s="1226" t="str">
        <f t="shared" si="2"/>
        <v/>
      </c>
      <c r="M98" s="811" t="str">
        <f t="shared" si="3"/>
        <v/>
      </c>
    </row>
    <row r="99" spans="2:13" x14ac:dyDescent="0.25">
      <c r="B99" s="51" t="s">
        <v>586</v>
      </c>
      <c r="C99" s="44"/>
      <c r="D99" s="44"/>
      <c r="E99" s="44"/>
      <c r="F99" s="44"/>
      <c r="G99" s="44"/>
      <c r="H99" s="1222">
        <f>'Aquifer Pilot Pl Rpt Fld'!L35</f>
        <v>1628</v>
      </c>
      <c r="I99" s="829" t="str">
        <f>IF('Form "A" Office'!J99&lt;1,"",'Form "A" Office'!J99)</f>
        <v/>
      </c>
      <c r="J99" s="716"/>
      <c r="K99" s="1226" t="str">
        <f t="shared" si="2"/>
        <v/>
      </c>
      <c r="M99" s="811" t="str">
        <f t="shared" si="3"/>
        <v/>
      </c>
    </row>
    <row r="100" spans="2:13" x14ac:dyDescent="0.25">
      <c r="B100" s="51" t="s">
        <v>922</v>
      </c>
      <c r="C100" s="44"/>
      <c r="D100" s="44"/>
      <c r="E100" s="44"/>
      <c r="F100" s="44"/>
      <c r="G100" s="44"/>
      <c r="H100" s="1222">
        <f>'Corrective Action Reports Eng'!L53</f>
        <v>1538</v>
      </c>
      <c r="I100" s="829" t="str">
        <f>IF('Form "A" Office'!J100&lt;1,"",'Form "A" Office'!J100)</f>
        <v/>
      </c>
      <c r="J100" s="716"/>
      <c r="K100" s="1226" t="str">
        <f t="shared" si="2"/>
        <v/>
      </c>
      <c r="M100" s="811" t="str">
        <f t="shared" si="3"/>
        <v/>
      </c>
    </row>
    <row r="101" spans="2:13" x14ac:dyDescent="0.25">
      <c r="B101" s="51" t="s">
        <v>318</v>
      </c>
      <c r="C101" s="44"/>
      <c r="D101" s="44"/>
      <c r="E101" s="44"/>
      <c r="F101" s="44"/>
      <c r="G101" s="44"/>
      <c r="H101" s="1222">
        <f>'MW Abandon Plan Report Field'!L17</f>
        <v>516</v>
      </c>
      <c r="I101" s="829" t="str">
        <f>IF('Form "A" Office'!J101&lt;1,"",'Form "A" Office'!J101)</f>
        <v/>
      </c>
      <c r="J101" s="716"/>
      <c r="K101" s="1226" t="str">
        <f t="shared" si="2"/>
        <v/>
      </c>
      <c r="M101" s="811" t="str">
        <f t="shared" si="3"/>
        <v/>
      </c>
    </row>
    <row r="102" spans="2:13" x14ac:dyDescent="0.25">
      <c r="B102" s="51" t="s">
        <v>319</v>
      </c>
      <c r="C102" s="44"/>
      <c r="D102" s="44"/>
      <c r="E102" s="44"/>
      <c r="F102" s="44"/>
      <c r="G102" s="44"/>
      <c r="H102" s="1222">
        <f>'MW Abandon Plan Report Field'!L35</f>
        <v>1146</v>
      </c>
      <c r="I102" s="829" t="str">
        <f>IF('Form "A" Office'!J102&lt;1,"",'Form "A" Office'!J102)</f>
        <v/>
      </c>
      <c r="J102" s="716"/>
      <c r="K102" s="1226" t="str">
        <f t="shared" si="2"/>
        <v/>
      </c>
      <c r="M102" s="811" t="str">
        <f t="shared" si="3"/>
        <v/>
      </c>
    </row>
    <row r="103" spans="2:13" x14ac:dyDescent="0.25">
      <c r="B103" s="51" t="s">
        <v>352</v>
      </c>
      <c r="C103" s="44"/>
      <c r="D103" s="44"/>
      <c r="E103" s="44"/>
      <c r="F103" s="44"/>
      <c r="G103" s="44"/>
      <c r="H103" s="1222">
        <f>'MW Abandon Plan Report Field'!L53</f>
        <v>1026</v>
      </c>
      <c r="I103" s="829" t="str">
        <f>IF('Form "A" Office'!J103&lt;1,"",'Form "A" Office'!J103)</f>
        <v/>
      </c>
      <c r="J103" s="716"/>
      <c r="K103" s="1226" t="str">
        <f t="shared" si="2"/>
        <v/>
      </c>
      <c r="M103" s="811" t="str">
        <f t="shared" si="3"/>
        <v/>
      </c>
    </row>
    <row r="104" spans="2:13" x14ac:dyDescent="0.25">
      <c r="B104" s="51" t="s">
        <v>412</v>
      </c>
      <c r="C104" s="44"/>
      <c r="D104" s="44"/>
      <c r="E104" s="44"/>
      <c r="F104" s="44"/>
      <c r="G104" s="44"/>
      <c r="H104" s="1222">
        <f>'MW Abandon Plan Report Field'!L78</f>
        <v>2042</v>
      </c>
      <c r="I104" s="829" t="str">
        <f>IF('Form "A" Office'!J104&lt;1,"",'Form "A" Office'!J104)</f>
        <v/>
      </c>
      <c r="J104" s="716"/>
      <c r="K104" s="1226" t="str">
        <f t="shared" si="2"/>
        <v/>
      </c>
      <c r="M104" s="811" t="str">
        <f t="shared" si="3"/>
        <v/>
      </c>
    </row>
    <row r="105" spans="2:13" x14ac:dyDescent="0.25">
      <c r="B105" s="51" t="s">
        <v>1200</v>
      </c>
      <c r="C105" s="44"/>
      <c r="D105" s="44"/>
      <c r="E105" s="44"/>
      <c r="F105" s="44"/>
      <c r="G105" s="44"/>
      <c r="H105" s="1222">
        <f>'MISC Plans Reports'!L53</f>
        <v>802</v>
      </c>
      <c r="I105" s="829" t="str">
        <f>IF('Form "A" Office'!J105&lt;1,"",'Form "A" Office'!J105)</f>
        <v/>
      </c>
      <c r="J105" s="716"/>
      <c r="K105" s="1226" t="str">
        <f t="shared" si="2"/>
        <v/>
      </c>
      <c r="M105" s="811" t="str">
        <f t="shared" si="3"/>
        <v/>
      </c>
    </row>
    <row r="106" spans="2:13" x14ac:dyDescent="0.25">
      <c r="B106" s="51" t="s">
        <v>1201</v>
      </c>
      <c r="C106" s="44"/>
      <c r="D106" s="44"/>
      <c r="E106" s="44"/>
      <c r="F106" s="44"/>
      <c r="G106" s="44"/>
      <c r="H106" s="1222">
        <f>'MISC Plans Reports'!L78</f>
        <v>1248</v>
      </c>
      <c r="I106" s="829" t="str">
        <f>IF('Form "A" Office'!J106&lt;1,"",'Form "A" Office'!J106)</f>
        <v/>
      </c>
      <c r="J106" s="716"/>
      <c r="K106" s="1226" t="str">
        <f t="shared" si="2"/>
        <v/>
      </c>
      <c r="M106" s="811" t="str">
        <f t="shared" si="3"/>
        <v/>
      </c>
    </row>
    <row r="107" spans="2:13" x14ac:dyDescent="0.25">
      <c r="B107" s="51" t="s">
        <v>68</v>
      </c>
      <c r="C107" s="44"/>
      <c r="D107" s="44"/>
      <c r="E107" s="44"/>
      <c r="F107" s="44"/>
      <c r="G107" s="44"/>
      <c r="H107" s="1222">
        <f>'MISC Plans Reports'!L183</f>
        <v>1168</v>
      </c>
      <c r="I107" s="829" t="str">
        <f>IF('Form "A" Office'!J107&lt;1,"",'Form "A" Office'!J107)</f>
        <v/>
      </c>
      <c r="J107" s="716"/>
      <c r="K107" s="1226" t="str">
        <f t="shared" si="2"/>
        <v/>
      </c>
      <c r="M107" s="811" t="str">
        <f t="shared" si="3"/>
        <v/>
      </c>
    </row>
    <row r="108" spans="2:13" x14ac:dyDescent="0.25">
      <c r="B108" s="51" t="s">
        <v>69</v>
      </c>
      <c r="C108" s="44"/>
      <c r="D108" s="44"/>
      <c r="E108" s="44"/>
      <c r="F108" s="44"/>
      <c r="G108" s="44"/>
      <c r="H108" s="1222">
        <f>'MISC Plans Reports'!L201</f>
        <v>1736</v>
      </c>
      <c r="I108" s="829" t="str">
        <f>IF('Form "A" Office'!J108&lt;1,"",'Form "A" Office'!J108)</f>
        <v/>
      </c>
      <c r="J108" s="716"/>
      <c r="K108" s="1226" t="str">
        <f t="shared" si="2"/>
        <v/>
      </c>
      <c r="M108" s="811" t="str">
        <f t="shared" si="3"/>
        <v/>
      </c>
    </row>
    <row r="109" spans="2:13" x14ac:dyDescent="0.25">
      <c r="B109" s="51" t="s">
        <v>63</v>
      </c>
      <c r="C109" s="44"/>
      <c r="D109" s="44"/>
      <c r="E109" s="44"/>
      <c r="F109" s="44"/>
      <c r="G109" s="44"/>
      <c r="H109" s="1222">
        <f>'MISC Plans Reports'!L147</f>
        <v>348</v>
      </c>
      <c r="I109" s="829" t="str">
        <f>IF('Form "A" Office'!J109&lt;1,"",'Form "A" Office'!J109)</f>
        <v/>
      </c>
      <c r="J109" s="716"/>
      <c r="K109" s="1226" t="str">
        <f t="shared" si="2"/>
        <v/>
      </c>
      <c r="M109" s="811" t="str">
        <f t="shared" si="3"/>
        <v/>
      </c>
    </row>
    <row r="110" spans="2:13" x14ac:dyDescent="0.25">
      <c r="B110" s="51" t="s">
        <v>355</v>
      </c>
      <c r="C110" s="44"/>
      <c r="D110" s="44"/>
      <c r="E110" s="44"/>
      <c r="F110" s="44"/>
      <c r="G110" s="44"/>
      <c r="H110" s="1222">
        <f>'MISC Plans Reports'!L96</f>
        <v>1412</v>
      </c>
      <c r="I110" s="829" t="str">
        <f>IF('Form "A" Office'!J110&lt;1,"",'Form "A" Office'!J110)</f>
        <v/>
      </c>
      <c r="J110" s="716"/>
      <c r="K110" s="1226" t="str">
        <f t="shared" si="2"/>
        <v/>
      </c>
      <c r="M110" s="811" t="str">
        <f t="shared" si="3"/>
        <v/>
      </c>
    </row>
    <row r="111" spans="2:13" x14ac:dyDescent="0.25">
      <c r="B111" s="51" t="s">
        <v>1248</v>
      </c>
      <c r="C111" s="44"/>
      <c r="D111" s="44"/>
      <c r="E111" s="44"/>
      <c r="F111" s="44"/>
      <c r="G111" s="44"/>
      <c r="H111" s="1222">
        <f>'MISC Plans Reports'!L114</f>
        <v>904</v>
      </c>
      <c r="I111" s="829" t="str">
        <f>IF('Form "A" Office'!J111&lt;1,"",'Form "A" Office'!J111)</f>
        <v/>
      </c>
      <c r="J111" s="716"/>
      <c r="K111" s="1226" t="str">
        <f t="shared" si="2"/>
        <v/>
      </c>
      <c r="M111" s="811" t="str">
        <f t="shared" si="3"/>
        <v/>
      </c>
    </row>
    <row r="112" spans="2:13" x14ac:dyDescent="0.25">
      <c r="B112" s="51" t="s">
        <v>1351</v>
      </c>
      <c r="C112" s="44"/>
      <c r="D112" s="44"/>
      <c r="E112" s="44"/>
      <c r="F112" s="44"/>
      <c r="G112" s="44"/>
      <c r="H112" s="1222">
        <f>'MISC Plans Reports'!L279</f>
        <v>498</v>
      </c>
      <c r="I112" s="829" t="str">
        <f>IF('Form "A" Office'!J112&lt;1,"",'Form "A" Office'!J112)</f>
        <v/>
      </c>
      <c r="J112" s="716"/>
      <c r="K112" s="1226" t="str">
        <f>IF(J112&lt;1,"",(H112*J112))</f>
        <v/>
      </c>
      <c r="M112" s="811" t="str">
        <f t="shared" si="3"/>
        <v/>
      </c>
    </row>
    <row r="113" spans="2:13" x14ac:dyDescent="0.25">
      <c r="B113" s="51" t="s">
        <v>1249</v>
      </c>
      <c r="C113" s="44"/>
      <c r="D113" s="44"/>
      <c r="E113" s="44"/>
      <c r="F113" s="44"/>
      <c r="G113" s="44"/>
      <c r="H113" s="1589">
        <f>'MISC Plans Reports'!L114</f>
        <v>904</v>
      </c>
      <c r="I113" s="829" t="str">
        <f>IF('Form "A" Office'!J113&lt;1,"",'Form "A" Office'!J113)</f>
        <v/>
      </c>
      <c r="J113" s="716"/>
      <c r="K113" s="1226" t="str">
        <f>IF(J113&lt;1,"",(H113*J113))</f>
        <v/>
      </c>
      <c r="M113" s="811" t="str">
        <f>IF(I113="","",(I113*H113))</f>
        <v/>
      </c>
    </row>
    <row r="114" spans="2:13" x14ac:dyDescent="0.25">
      <c r="B114" s="51" t="s">
        <v>1354</v>
      </c>
      <c r="C114" s="44"/>
      <c r="D114" s="44"/>
      <c r="E114" s="44"/>
      <c r="F114" s="44"/>
      <c r="G114" s="44"/>
      <c r="H114" s="1222">
        <f>'MISC Plans Reports'!L279</f>
        <v>498</v>
      </c>
      <c r="I114" s="829" t="str">
        <f>IF('Form "A" Office'!J114&lt;1,"",'Form "A" Office'!J114)</f>
        <v/>
      </c>
      <c r="J114" s="716"/>
      <c r="K114" s="1226" t="str">
        <f>IF(J114&lt;1,"",(H114*J114))</f>
        <v/>
      </c>
      <c r="M114" s="811" t="str">
        <f>IF(I115="","",(I115*H115))</f>
        <v/>
      </c>
    </row>
    <row r="115" spans="2:13" x14ac:dyDescent="0.25">
      <c r="B115" s="51" t="s">
        <v>1246</v>
      </c>
      <c r="C115" s="44"/>
      <c r="D115" s="44"/>
      <c r="E115" s="44"/>
      <c r="F115" s="44"/>
      <c r="G115" s="44"/>
      <c r="H115" s="1222">
        <f>'MISC Plans Reports'!L132</f>
        <v>254</v>
      </c>
      <c r="I115" s="829" t="str">
        <f>IF('Form "A" Office'!J115&lt;1,"",'Form "A" Office'!J115)</f>
        <v/>
      </c>
      <c r="J115" s="716"/>
      <c r="K115" s="1226" t="str">
        <f t="shared" ref="K115:K121" si="4">IF(J115&lt;1,"",(H115*J115))</f>
        <v/>
      </c>
      <c r="M115" s="811" t="str">
        <f>IF(I116="","",(I116*H116))</f>
        <v/>
      </c>
    </row>
    <row r="116" spans="2:13" x14ac:dyDescent="0.25">
      <c r="B116" s="51" t="s">
        <v>73</v>
      </c>
      <c r="C116" s="44"/>
      <c r="D116" s="44"/>
      <c r="E116" s="44"/>
      <c r="F116" s="44"/>
      <c r="G116" s="44"/>
      <c r="H116" s="1222">
        <f>'MISC Plans Reports'!L165</f>
        <v>548</v>
      </c>
      <c r="I116" s="829" t="str">
        <f>IF('Form "A" Office'!J116&lt;1,"",'Form "A" Office'!J116)</f>
        <v/>
      </c>
      <c r="J116" s="716"/>
      <c r="K116" s="1226" t="str">
        <f t="shared" si="4"/>
        <v/>
      </c>
      <c r="M116" s="811" t="str">
        <f>IF(I117="","",(I117*H117))</f>
        <v/>
      </c>
    </row>
    <row r="117" spans="2:13" x14ac:dyDescent="0.25">
      <c r="B117" s="51" t="s">
        <v>61</v>
      </c>
      <c r="C117" s="44"/>
      <c r="D117" s="44"/>
      <c r="E117" s="44"/>
      <c r="F117" s="44"/>
      <c r="G117" s="44"/>
      <c r="H117" s="1222">
        <f>'MW Abandon Plan Report Field'!L96</f>
        <v>648</v>
      </c>
      <c r="I117" s="829" t="str">
        <f>IF('Form "A" Office'!J117&lt;1,"",'Form "A" Office'!J117)</f>
        <v/>
      </c>
      <c r="J117" s="716"/>
      <c r="K117" s="1226" t="str">
        <f t="shared" si="4"/>
        <v/>
      </c>
      <c r="M117" s="811" t="str">
        <f>IF(I118="","",(I118*H118))</f>
        <v/>
      </c>
    </row>
    <row r="118" spans="2:13" x14ac:dyDescent="0.25">
      <c r="B118" s="51" t="s">
        <v>826</v>
      </c>
      <c r="C118" s="44"/>
      <c r="D118" s="44"/>
      <c r="E118" s="44"/>
      <c r="F118" s="44"/>
      <c r="G118" s="44"/>
      <c r="H118" s="1225">
        <f>'MISC Plans Reports'!L219</f>
        <v>242</v>
      </c>
      <c r="I118" s="1169"/>
      <c r="J118" s="716"/>
      <c r="K118" s="1226" t="str">
        <f t="shared" si="4"/>
        <v/>
      </c>
    </row>
    <row r="119" spans="2:13" x14ac:dyDescent="0.25">
      <c r="B119" s="51" t="s">
        <v>1202</v>
      </c>
      <c r="C119" s="44"/>
      <c r="D119" s="44"/>
      <c r="E119" s="44"/>
      <c r="F119" s="44"/>
      <c r="G119" s="44"/>
      <c r="H119" s="1225">
        <f>'MISC Plans Reports'!L243</f>
        <v>122</v>
      </c>
      <c r="I119" s="829" t="str">
        <f>IF('Form "A" Office'!J118&lt;1,"",'Form "A" Office'!J118)</f>
        <v/>
      </c>
      <c r="J119" s="716"/>
      <c r="K119" s="1226" t="str">
        <f t="shared" si="4"/>
        <v/>
      </c>
    </row>
    <row r="120" spans="2:13" x14ac:dyDescent="0.25">
      <c r="B120" s="51" t="s">
        <v>1203</v>
      </c>
      <c r="C120" s="44"/>
      <c r="D120" s="44"/>
      <c r="E120" s="44"/>
      <c r="F120" s="44"/>
      <c r="G120" s="44"/>
      <c r="H120" s="1225">
        <f>'MISC Plans Reports'!L261</f>
        <v>384</v>
      </c>
      <c r="I120" s="829" t="str">
        <f>IF('Form "A" Office'!J119&lt;1,"",'Form "A" Office'!J119)</f>
        <v/>
      </c>
      <c r="J120" s="1304"/>
      <c r="K120" s="1226" t="str">
        <f t="shared" si="4"/>
        <v/>
      </c>
    </row>
    <row r="121" spans="2:13" hidden="1" x14ac:dyDescent="0.25">
      <c r="B121" s="51"/>
      <c r="C121" s="44"/>
      <c r="D121" s="44"/>
      <c r="E121" s="44"/>
      <c r="F121" s="44"/>
      <c r="G121" s="44"/>
      <c r="H121"/>
      <c r="I121"/>
      <c r="J121"/>
      <c r="K121" s="1226" t="str">
        <f t="shared" si="4"/>
        <v/>
      </c>
    </row>
    <row r="122" spans="2:13" x14ac:dyDescent="0.25">
      <c r="B122" s="51" t="s">
        <v>1242</v>
      </c>
      <c r="C122" s="44"/>
      <c r="D122" s="1293"/>
      <c r="E122" s="1294"/>
      <c r="F122" s="1294"/>
      <c r="G122" s="1295"/>
      <c r="H122" s="1296" t="str">
        <f>IF('Form "A" Office'!H120=0,"",'Form "A" Office'!H120)</f>
        <v/>
      </c>
      <c r="I122" s="829" t="str">
        <f>IF('Form "A" Office'!J120&lt;1,"",'Form "A" Office'!J120)</f>
        <v/>
      </c>
      <c r="J122" s="716"/>
      <c r="K122" s="1226" t="str">
        <f>IF(J122="","",IF(H122="","",(H122*J122)))</f>
        <v/>
      </c>
    </row>
    <row r="123" spans="2:13" x14ac:dyDescent="0.25">
      <c r="B123" s="51" t="s">
        <v>56</v>
      </c>
      <c r="C123" s="44"/>
      <c r="D123" s="44"/>
      <c r="E123" s="44"/>
      <c r="F123" s="836"/>
      <c r="G123" s="44"/>
      <c r="H123" s="1471">
        <f>IF('PR Form "F" Details'!L25=0,0,'PR Form "F" Details'!L25)</f>
        <v>0</v>
      </c>
      <c r="I123" s="1302" t="str">
        <f>IF('Form "A" Office'!K122="","",'Form "A" Office'!K122)</f>
        <v/>
      </c>
      <c r="J123" s="1170" t="str">
        <f>IF('PR Form "F" Details'!L25=0,"",1)</f>
        <v/>
      </c>
      <c r="K123" s="1226" t="str">
        <f>IF(J123="","",IF(I123="","",'PR Form "F" Details'!L25))</f>
        <v/>
      </c>
      <c r="M123" s="811" t="str">
        <f>IF(I123="","",(I123))</f>
        <v/>
      </c>
    </row>
    <row r="124" spans="2:13" ht="13.8" thickBot="1" x14ac:dyDescent="0.3">
      <c r="B124" s="1580">
        <v>0</v>
      </c>
      <c r="C124" s="663"/>
      <c r="D124" s="663"/>
      <c r="E124" s="663"/>
      <c r="F124" s="663"/>
      <c r="G124" s="663"/>
      <c r="H124" s="65"/>
      <c r="I124" s="890"/>
      <c r="J124" s="890"/>
      <c r="K124" s="1248"/>
    </row>
    <row r="125" spans="2:13" ht="19.5" customHeight="1" thickBot="1" x14ac:dyDescent="0.35">
      <c r="B125" s="837" t="s">
        <v>1002</v>
      </c>
      <c r="C125" s="838"/>
      <c r="D125" s="839"/>
      <c r="E125" s="2210">
        <f>('Form "A" Office'!$K$124)</f>
        <v>0</v>
      </c>
      <c r="F125" s="2211"/>
      <c r="G125" s="840" t="s">
        <v>863</v>
      </c>
      <c r="H125" s="840"/>
      <c r="I125" s="841"/>
      <c r="J125" s="842"/>
      <c r="K125" s="1229">
        <f>SUM(K8:K123)</f>
        <v>0</v>
      </c>
      <c r="L125" s="811"/>
      <c r="M125" s="811">
        <f>SUM(M9:M123)</f>
        <v>0</v>
      </c>
    </row>
    <row r="126" spans="2:13" x14ac:dyDescent="0.25">
      <c r="B126" s="843"/>
      <c r="D126" s="843"/>
      <c r="F126" s="843"/>
      <c r="G126" s="843"/>
      <c r="H126" s="844"/>
      <c r="I126" s="845"/>
    </row>
  </sheetData>
  <sheetProtection algorithmName="SHA-512" hashValue="WFVqIovj9iUXJCmpkF4IfTuO882ynbZmHcqKhsBNl8S++ZVaXODHdHyw72AQTuqdZHuKtBxBvZy2Af/PXlZYJA==" saltValue="Pep7YFf5WWoMbeioWCw0TQ==" spinCount="100000" sheet="1" objects="1" scenarios="1" selectLockedCells="1"/>
  <protectedRanges>
    <protectedRange sqref="J9:J24 J26:J29 J31:J35 J48:J49 J51:J59 J61:J68 J70:J72 J74:J75 J77:J80 D122:G122 J90:J122" name="Range3"/>
  </protectedRanges>
  <customSheetViews>
    <customSheetView guid="{BC429C65-53B8-4F97-88D2-74ECCD734800}" showGridLines="0" showRowCol="0" state="hidden">
      <pane xSplit="1" ySplit="6" topLeftCell="B7" activePane="bottomRight" state="frozen"/>
      <selection pane="bottomRight" activeCell="B3" sqref="B3:J3"/>
      <rowBreaks count="1" manualBreakCount="1">
        <brk id="55" max="16383" man="1"/>
      </rowBreaks>
      <pageMargins left="0.25" right="0.25" top="0.75" bottom="0" header="0" footer="0.3"/>
      <printOptions horizontalCentered="1"/>
      <pageSetup orientation="portrait" r:id="rId1"/>
      <headerFooter>
        <oddHeader>&amp;RPR</oddHeader>
      </headerFooter>
    </customSheetView>
  </customSheetViews>
  <mergeCells count="3">
    <mergeCell ref="B3:K3"/>
    <mergeCell ref="B4:K4"/>
    <mergeCell ref="E125:F125"/>
  </mergeCells>
  <phoneticPr fontId="21" type="noConversion"/>
  <dataValidations count="10">
    <dataValidation type="whole" allowBlank="1" showInputMessage="1" showErrorMessage="1" sqref="I76 I60 I73 I25 I30 I46:I47 I50" xr:uid="{00000000-0002-0000-0B00-000000000000}">
      <formula1>0</formula1>
      <formula2>12</formula2>
    </dataValidation>
    <dataValidation type="whole" operator="lessThan" allowBlank="1" showInputMessage="1" showErrorMessage="1" sqref="I74:I75 I121:I122 I26:I29 I31:I45 I48:I49 I51:I59 I70:I72 I9:I24 I61:I68 I77:I118" xr:uid="{00000000-0002-0000-0B00-000001000000}">
      <formula1>2</formula1>
    </dataValidation>
    <dataValidation type="whole" operator="lessThanOrEqual" allowBlank="1" showInputMessage="1" showErrorMessage="1" sqref="J117 J119:J122" xr:uid="{00000000-0002-0000-0B00-000002000000}">
      <formula1>4</formula1>
    </dataValidation>
    <dataValidation type="whole" operator="lessThanOrEqual" allowBlank="1" showInputMessage="1" showErrorMessage="1" sqref="J10" xr:uid="{00000000-0002-0000-0B00-000003000000}">
      <formula1>14</formula1>
    </dataValidation>
    <dataValidation operator="lessThan" allowBlank="1" showInputMessage="1" showErrorMessage="1" sqref="I123 I119:I120" xr:uid="{00000000-0002-0000-0B00-000004000000}"/>
    <dataValidation operator="lessThanOrEqual" allowBlank="1" showInputMessage="1" showErrorMessage="1" prompt="Enter value from Form &quot;F&quot;" sqref="H123 J123" xr:uid="{00000000-0002-0000-0B00-000005000000}"/>
    <dataValidation allowBlank="1" showErrorMessage="1" prompt="Enter Value from Form &quot;F&quot;" sqref="I69" xr:uid="{00000000-0002-0000-0B00-000006000000}"/>
    <dataValidation allowBlank="1" showInputMessage="1" showErrorMessage="1" prompt="Enter value from Form &quot;F&quot;" sqref="H69 J69" xr:uid="{00000000-0002-0000-0B00-000007000000}"/>
    <dataValidation type="whole" allowBlank="1" showInputMessage="1" showErrorMessage="1" sqref="J23" xr:uid="{00000000-0002-0000-0B00-000008000000}">
      <formula1>0</formula1>
      <formula2>1</formula2>
    </dataValidation>
    <dataValidation type="whole" operator="lessThanOrEqual" allowBlank="1" showInputMessage="1" showErrorMessage="1" sqref="J118" xr:uid="{00000000-0002-0000-0B00-000009000000}">
      <formula1>1</formula1>
    </dataValidation>
  </dataValidations>
  <printOptions horizontalCentered="1"/>
  <pageMargins left="0.5" right="0.5" top="0.5" bottom="0.5" header="0" footer="0"/>
  <pageSetup fitToHeight="2" orientation="portrait" r:id="rId2"/>
  <headerFooter>
    <oddHeader>&amp;RPR</oddHeader>
    <oddFooter>&amp;LADEM Form 32 DRAFT&amp;C2/2025&amp;R*M9 DRAFT</oddFooter>
  </headerFooter>
  <rowBreaks count="1" manualBreakCount="1">
    <brk id="66" min="1" max="10" man="1"/>
  </rowBreaks>
  <ignoredErrors>
    <ignoredError sqref="M69 K69 H112"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3555" r:id="rId5" name="Button 3">
              <controlPr defaultSize="0" print="0" autoFill="0" autoPict="0" macro="[0]!deletepradinputs">
                <anchor>
                  <from>
                    <xdr:col>0</xdr:col>
                    <xdr:colOff>106680</xdr:colOff>
                    <xdr:row>15</xdr:row>
                    <xdr:rowOff>152400</xdr:rowOff>
                  </from>
                  <to>
                    <xdr:col>0</xdr:col>
                    <xdr:colOff>845820</xdr:colOff>
                    <xdr:row>20</xdr:row>
                    <xdr:rowOff>60960</xdr:rowOff>
                  </to>
                </anchor>
              </controlPr>
            </control>
          </mc:Choice>
        </mc:AlternateContent>
        <mc:AlternateContent xmlns:mc="http://schemas.openxmlformats.org/markup-compatibility/2006">
          <mc:Choice Requires="x14">
            <control shapeId="23556" r:id="rId6" name="Button 4">
              <controlPr defaultSize="0" print="0" autoFill="0" autoPict="0" macro="[0]!one">
                <anchor>
                  <from>
                    <xdr:col>0</xdr:col>
                    <xdr:colOff>114300</xdr:colOff>
                    <xdr:row>11</xdr:row>
                    <xdr:rowOff>38100</xdr:rowOff>
                  </from>
                  <to>
                    <xdr:col>0</xdr:col>
                    <xdr:colOff>845820</xdr:colOff>
                    <xdr:row>14</xdr:row>
                    <xdr:rowOff>106680</xdr:rowOff>
                  </to>
                </anchor>
              </controlPr>
            </control>
          </mc:Choice>
        </mc:AlternateContent>
        <mc:AlternateContent xmlns:mc="http://schemas.openxmlformats.org/markup-compatibility/2006">
          <mc:Choice Requires="x14">
            <control shapeId="23557" r:id="rId7" name="Button 5">
              <controlPr defaultSize="0" print="0" autoFill="0" autoPict="0" macro="[0]!nine">
                <anchor>
                  <from>
                    <xdr:col>0</xdr:col>
                    <xdr:colOff>106680</xdr:colOff>
                    <xdr:row>21</xdr:row>
                    <xdr:rowOff>106680</xdr:rowOff>
                  </from>
                  <to>
                    <xdr:col>0</xdr:col>
                    <xdr:colOff>861060</xdr:colOff>
                    <xdr:row>25</xdr:row>
                    <xdr:rowOff>45720</xdr:rowOff>
                  </to>
                </anchor>
              </controlPr>
            </control>
          </mc:Choice>
        </mc:AlternateContent>
        <mc:AlternateContent xmlns:mc="http://schemas.openxmlformats.org/markup-compatibility/2006">
          <mc:Choice Requires="x14">
            <control shapeId="23558" r:id="rId8" name="Button 6">
              <controlPr defaultSize="0" print="0" autoFill="0" autoPict="0" macro="[0]!nine">
                <anchor>
                  <from>
                    <xdr:col>0</xdr:col>
                    <xdr:colOff>160020</xdr:colOff>
                    <xdr:row>110</xdr:row>
                    <xdr:rowOff>114300</xdr:rowOff>
                  </from>
                  <to>
                    <xdr:col>0</xdr:col>
                    <xdr:colOff>822960</xdr:colOff>
                    <xdr:row>114</xdr:row>
                    <xdr:rowOff>121920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0">
    <tabColor rgb="FFFF7C80"/>
  </sheetPr>
  <dimension ref="A1:T168"/>
  <sheetViews>
    <sheetView showGridLines="0" showRowColHeaders="0" zoomScale="110" zoomScaleNormal="110" workbookViewId="0">
      <pane xSplit="1" ySplit="6" topLeftCell="B7" activePane="bottomRight" state="frozen"/>
      <selection activeCell="F5" sqref="B5:J10"/>
      <selection pane="topRight" activeCell="F5" sqref="B5:J10"/>
      <selection pane="bottomLeft" activeCell="F5" sqref="B5:J10"/>
      <selection pane="bottomRight" activeCell="F5" sqref="B5:J10"/>
    </sheetView>
  </sheetViews>
  <sheetFormatPr defaultColWidth="11.44140625" defaultRowHeight="13.2" x14ac:dyDescent="0.25"/>
  <cols>
    <col min="1" max="1" width="13.6640625" style="807" customWidth="1"/>
    <col min="2" max="2" width="11.44140625" style="808" customWidth="1"/>
    <col min="3" max="3" width="12.88671875" style="808" customWidth="1"/>
    <col min="4" max="4" width="9.33203125" style="808" customWidth="1"/>
    <col min="5" max="5" width="8.5546875" style="808" customWidth="1"/>
    <col min="6" max="6" width="14.109375" style="808" customWidth="1"/>
    <col min="7" max="7" width="7.44140625" style="808" customWidth="1"/>
    <col min="8" max="8" width="7.6640625" style="846" customWidth="1"/>
    <col min="9" max="10" width="8.44140625" style="808" customWidth="1"/>
    <col min="11" max="11" width="13.109375" style="810" customWidth="1"/>
    <col min="12" max="12" width="11.44140625" style="811"/>
    <col min="13" max="13" width="13.6640625" style="811" bestFit="1" customWidth="1"/>
    <col min="14" max="20" width="11.44140625" style="811"/>
    <col min="21" max="16384" width="11.44140625" style="808"/>
  </cols>
  <sheetData>
    <row r="1" spans="1:20" ht="19.2" customHeight="1" thickBot="1" x14ac:dyDescent="0.3">
      <c r="A1" s="1086"/>
      <c r="H1" s="808"/>
    </row>
    <row r="2" spans="1:20" s="1088" customFormat="1" ht="21" customHeight="1" thickBot="1" x14ac:dyDescent="0.3">
      <c r="A2" s="1087"/>
      <c r="B2" s="812" t="s">
        <v>878</v>
      </c>
      <c r="C2" s="813"/>
      <c r="D2" s="813"/>
      <c r="E2" s="813"/>
      <c r="F2" s="813"/>
      <c r="G2" s="813"/>
      <c r="H2" s="813"/>
      <c r="I2" s="813"/>
      <c r="J2" s="813"/>
      <c r="K2" s="814"/>
      <c r="L2" s="1089"/>
      <c r="M2" s="1089"/>
      <c r="N2" s="1089"/>
      <c r="O2" s="1089"/>
      <c r="P2" s="1089"/>
      <c r="Q2" s="1089"/>
      <c r="R2" s="1089"/>
      <c r="S2" s="1089"/>
      <c r="T2" s="1089"/>
    </row>
    <row r="3" spans="1:20" ht="21" customHeight="1" thickBot="1" x14ac:dyDescent="0.3">
      <c r="B3" s="2038" t="s">
        <v>410</v>
      </c>
      <c r="C3" s="2039"/>
      <c r="D3" s="2039"/>
      <c r="E3" s="2039"/>
      <c r="F3" s="2039"/>
      <c r="G3" s="2039"/>
      <c r="H3" s="2039"/>
      <c r="I3" s="2039"/>
      <c r="J3" s="2039"/>
      <c r="K3" s="2040"/>
    </row>
    <row r="4" spans="1:20" ht="7.95" customHeight="1" x14ac:dyDescent="0.25">
      <c r="B4" s="834"/>
      <c r="C4" s="835"/>
      <c r="D4" s="835"/>
      <c r="E4" s="835"/>
      <c r="F4" s="835"/>
      <c r="G4" s="835"/>
      <c r="H4" s="873"/>
      <c r="I4" s="835"/>
      <c r="J4" s="835"/>
      <c r="K4" s="1270"/>
    </row>
    <row r="5" spans="1:20" ht="14.4" customHeight="1" x14ac:dyDescent="0.25">
      <c r="B5" s="1266"/>
      <c r="C5" s="1267" t="s">
        <v>314</v>
      </c>
      <c r="D5" s="1268"/>
      <c r="E5" s="1269"/>
      <c r="F5" s="44"/>
      <c r="G5" s="44"/>
      <c r="H5" s="822" t="s">
        <v>215</v>
      </c>
      <c r="I5" s="823" t="s">
        <v>126</v>
      </c>
      <c r="J5" s="823" t="s">
        <v>127</v>
      </c>
      <c r="K5" s="824" t="s">
        <v>967</v>
      </c>
    </row>
    <row r="6" spans="1:20" ht="14.4" customHeight="1" thickBot="1" x14ac:dyDescent="0.3">
      <c r="B6" s="1090"/>
      <c r="C6" s="663"/>
      <c r="D6" s="663"/>
      <c r="E6" s="663"/>
      <c r="F6" s="663"/>
      <c r="G6" s="663"/>
      <c r="H6" s="65"/>
      <c r="I6" s="663"/>
      <c r="J6" s="663"/>
      <c r="K6" s="1091"/>
    </row>
    <row r="7" spans="1:20" ht="18" customHeight="1" thickBot="1" x14ac:dyDescent="0.3">
      <c r="B7" s="1092" t="s">
        <v>881</v>
      </c>
      <c r="C7" s="1093"/>
      <c r="D7" s="1093"/>
      <c r="E7" s="1093"/>
      <c r="F7" s="1093"/>
      <c r="G7" s="1093"/>
      <c r="H7" s="1093"/>
      <c r="I7" s="1093"/>
      <c r="J7" s="1093"/>
      <c r="K7" s="1094"/>
    </row>
    <row r="8" spans="1:20" ht="16.2" customHeight="1" thickBot="1" x14ac:dyDescent="0.3">
      <c r="B8" s="1095" t="s">
        <v>946</v>
      </c>
      <c r="C8" s="1096"/>
      <c r="D8" s="1096"/>
      <c r="E8" s="1096"/>
      <c r="F8" s="1096"/>
      <c r="G8" s="1096"/>
      <c r="H8" s="1096"/>
      <c r="I8" s="1096"/>
      <c r="J8" s="1096"/>
      <c r="K8" s="1097"/>
    </row>
    <row r="9" spans="1:20" ht="0.15" customHeight="1" x14ac:dyDescent="0.25">
      <c r="B9" s="1098"/>
      <c r="C9" s="827"/>
      <c r="D9" s="827"/>
      <c r="E9" s="827"/>
      <c r="F9" s="827"/>
      <c r="G9" s="827"/>
      <c r="H9" s="827"/>
      <c r="I9" s="827"/>
      <c r="J9" s="827"/>
      <c r="K9" s="828"/>
    </row>
    <row r="10" spans="1:20" ht="13.2" customHeight="1" x14ac:dyDescent="0.25">
      <c r="B10" s="51" t="s">
        <v>704</v>
      </c>
      <c r="C10" s="44"/>
      <c r="D10" s="44"/>
      <c r="E10" s="44"/>
      <c r="F10" s="44"/>
      <c r="G10" s="44"/>
      <c r="H10" s="1222">
        <f>' Field Task'!I4</f>
        <v>241</v>
      </c>
      <c r="I10" s="829" t="str">
        <f>IF('Form "B" Field'!J10&lt;1,"",'Form "B" Field'!J10)</f>
        <v/>
      </c>
      <c r="J10" s="707"/>
      <c r="K10" s="1226" t="str">
        <f t="shared" ref="K10:K15" si="0">IF(J10&lt;1,"",H10*J10)</f>
        <v/>
      </c>
      <c r="M10" s="811" t="str">
        <f>IF(I10="","",(I10*H10))</f>
        <v/>
      </c>
    </row>
    <row r="11" spans="1:20" ht="13.2" customHeight="1" x14ac:dyDescent="0.25">
      <c r="B11" s="51" t="s">
        <v>705</v>
      </c>
      <c r="C11" s="44"/>
      <c r="D11" s="44"/>
      <c r="E11" s="44"/>
      <c r="F11" s="44"/>
      <c r="G11" s="44"/>
      <c r="H11" s="1222">
        <f>' Field Task'!I6</f>
        <v>380</v>
      </c>
      <c r="I11" s="855" t="str">
        <f>IF('Form "B" Field'!J11&lt;1,"",'Form "B" Field'!J11)</f>
        <v/>
      </c>
      <c r="J11" s="716"/>
      <c r="K11" s="1226" t="str">
        <f t="shared" si="0"/>
        <v/>
      </c>
      <c r="M11" s="811" t="str">
        <f t="shared" ref="M11:M78" si="1">IF(I11="","",(I11*H11))</f>
        <v/>
      </c>
    </row>
    <row r="12" spans="1:20" ht="13.2" customHeight="1" x14ac:dyDescent="0.25">
      <c r="B12" s="51" t="s">
        <v>706</v>
      </c>
      <c r="C12" s="44"/>
      <c r="D12" s="44"/>
      <c r="E12" s="44"/>
      <c r="F12" s="44"/>
      <c r="G12" s="44"/>
      <c r="H12" s="1222">
        <f>' Field Task'!I8</f>
        <v>825</v>
      </c>
      <c r="I12" s="855" t="str">
        <f>IF('Form "B" Field'!J12&lt;1,"",'Form "B" Field'!J12)</f>
        <v/>
      </c>
      <c r="J12" s="716"/>
      <c r="K12" s="1226" t="str">
        <f t="shared" si="0"/>
        <v/>
      </c>
      <c r="M12" s="811" t="str">
        <f t="shared" si="1"/>
        <v/>
      </c>
    </row>
    <row r="13" spans="1:20" ht="13.2" customHeight="1" x14ac:dyDescent="0.25">
      <c r="B13" s="51" t="s">
        <v>744</v>
      </c>
      <c r="C13" s="44"/>
      <c r="D13" s="827"/>
      <c r="E13" s="44"/>
      <c r="F13" s="44"/>
      <c r="G13" s="44"/>
      <c r="H13" s="1222">
        <f>' Field Task'!I10</f>
        <v>1066</v>
      </c>
      <c r="I13" s="855" t="str">
        <f>IF('Form "B" Field'!J13&lt;1,"",'Form "B" Field'!J13)</f>
        <v/>
      </c>
      <c r="J13" s="716"/>
      <c r="K13" s="1226" t="str">
        <f t="shared" si="0"/>
        <v/>
      </c>
      <c r="M13" s="811" t="str">
        <f t="shared" si="1"/>
        <v/>
      </c>
    </row>
    <row r="14" spans="1:20" ht="13.2" customHeight="1" x14ac:dyDescent="0.25">
      <c r="B14" s="51" t="s">
        <v>707</v>
      </c>
      <c r="C14" s="44"/>
      <c r="D14" s="44"/>
      <c r="E14" s="44"/>
      <c r="F14" s="44"/>
      <c r="G14" s="44"/>
      <c r="H14" s="1222">
        <f>' Field Task'!I12</f>
        <v>1307</v>
      </c>
      <c r="I14" s="855" t="str">
        <f>IF('Form "B" Field'!J14&lt;1,"",'Form "B" Field'!J14)</f>
        <v/>
      </c>
      <c r="J14" s="716"/>
      <c r="K14" s="1226" t="str">
        <f t="shared" si="0"/>
        <v/>
      </c>
      <c r="M14" s="811" t="str">
        <f t="shared" si="1"/>
        <v/>
      </c>
    </row>
    <row r="15" spans="1:20" ht="13.2" customHeight="1" thickBot="1" x14ac:dyDescent="0.3">
      <c r="B15" s="51" t="s">
        <v>708</v>
      </c>
      <c r="C15" s="44"/>
      <c r="D15" s="44"/>
      <c r="E15" s="44"/>
      <c r="F15" s="44"/>
      <c r="G15" s="44"/>
      <c r="H15" s="1222">
        <f>' Field Task'!I14</f>
        <v>1548</v>
      </c>
      <c r="I15" s="1099" t="str">
        <f>IF('Form "B" Field'!J15&lt;1,"",'Form "B" Field'!J15)</f>
        <v/>
      </c>
      <c r="J15" s="709"/>
      <c r="K15" s="1226" t="str">
        <f t="shared" si="0"/>
        <v/>
      </c>
      <c r="M15" s="811" t="str">
        <f t="shared" si="1"/>
        <v/>
      </c>
    </row>
    <row r="16" spans="1:20" ht="13.95" customHeight="1" thickBot="1" x14ac:dyDescent="0.3">
      <c r="B16" s="1095" t="s">
        <v>947</v>
      </c>
      <c r="C16" s="1096"/>
      <c r="D16" s="1096"/>
      <c r="E16" s="1096"/>
      <c r="F16" s="1096"/>
      <c r="G16" s="1096"/>
      <c r="H16" s="1275"/>
      <c r="I16" s="1096"/>
      <c r="J16" s="1096"/>
      <c r="K16" s="1276"/>
    </row>
    <row r="17" spans="2:13" ht="0.15" customHeight="1" x14ac:dyDescent="0.25">
      <c r="B17" s="1098"/>
      <c r="C17" s="827"/>
      <c r="D17" s="827"/>
      <c r="E17" s="827"/>
      <c r="F17" s="827"/>
      <c r="G17" s="827"/>
      <c r="H17" s="1230"/>
      <c r="I17" s="827"/>
      <c r="J17" s="827"/>
      <c r="K17" s="1228"/>
      <c r="M17" s="811" t="str">
        <f t="shared" si="1"/>
        <v/>
      </c>
    </row>
    <row r="18" spans="2:13" ht="13.2" customHeight="1" x14ac:dyDescent="0.25">
      <c r="B18" s="51" t="s">
        <v>251</v>
      </c>
      <c r="C18" s="44"/>
      <c r="D18" s="1100"/>
      <c r="E18" s="1100"/>
      <c r="F18" s="1100"/>
      <c r="G18" s="44"/>
      <c r="H18" s="1222">
        <f>' Field Task'!I18</f>
        <v>380</v>
      </c>
      <c r="I18" s="829" t="str">
        <f>IF('Form "B" Field'!J18&lt;1,"",'Form "B" Field'!J18)</f>
        <v/>
      </c>
      <c r="J18" s="716"/>
      <c r="K18" s="1226" t="str">
        <f>IF(J18&lt;1,"",H18*J18)</f>
        <v/>
      </c>
      <c r="M18" s="811" t="str">
        <f t="shared" si="1"/>
        <v/>
      </c>
    </row>
    <row r="19" spans="2:13" ht="13.2" customHeight="1" x14ac:dyDescent="0.25">
      <c r="B19" s="51" t="s">
        <v>253</v>
      </c>
      <c r="C19" s="44"/>
      <c r="D19" s="1100"/>
      <c r="E19" s="1100"/>
      <c r="F19" s="1100"/>
      <c r="G19" s="44"/>
      <c r="H19" s="1222">
        <f>' Field Task'!I22</f>
        <v>519</v>
      </c>
      <c r="I19" s="829" t="str">
        <f>IF('Form "B" Field'!J19&lt;1,"",'Form "B" Field'!J19)</f>
        <v/>
      </c>
      <c r="J19" s="716"/>
      <c r="K19" s="1226" t="str">
        <f t="shared" ref="K19:K26" si="2">IF(J19&lt;1,"",H19*J19)</f>
        <v/>
      </c>
      <c r="M19" s="811" t="str">
        <f t="shared" si="1"/>
        <v/>
      </c>
    </row>
    <row r="20" spans="2:13" ht="13.2" customHeight="1" x14ac:dyDescent="0.25">
      <c r="B20" s="51" t="s">
        <v>255</v>
      </c>
      <c r="C20" s="44"/>
      <c r="D20" s="1100"/>
      <c r="E20" s="1100"/>
      <c r="F20" s="1100"/>
      <c r="G20" s="44"/>
      <c r="H20" s="1222">
        <f>' Field Task'!I26</f>
        <v>760</v>
      </c>
      <c r="I20" s="829" t="str">
        <f>IF('Form "B" Field'!J20&lt;1,"",'Form "B" Field'!J20)</f>
        <v/>
      </c>
      <c r="J20" s="716"/>
      <c r="K20" s="1226" t="str">
        <f t="shared" si="2"/>
        <v/>
      </c>
      <c r="M20" s="811" t="str">
        <f t="shared" si="1"/>
        <v/>
      </c>
    </row>
    <row r="21" spans="2:13" ht="13.2" customHeight="1" x14ac:dyDescent="0.25">
      <c r="B21" s="51" t="s">
        <v>256</v>
      </c>
      <c r="C21" s="44"/>
      <c r="D21" s="1100"/>
      <c r="E21" s="1100"/>
      <c r="F21" s="1100"/>
      <c r="G21" s="44"/>
      <c r="H21" s="1222">
        <f>' Field Task'!I30</f>
        <v>1001</v>
      </c>
      <c r="I21" s="829" t="str">
        <f>IF('Form "B" Field'!J21&lt;1,"",'Form "B" Field'!J21)</f>
        <v/>
      </c>
      <c r="J21" s="716"/>
      <c r="K21" s="1226" t="str">
        <f t="shared" si="2"/>
        <v/>
      </c>
      <c r="M21" s="811" t="str">
        <f t="shared" si="1"/>
        <v/>
      </c>
    </row>
    <row r="22" spans="2:13" ht="13.2" customHeight="1" x14ac:dyDescent="0.25">
      <c r="B22" s="51"/>
      <c r="C22" s="44"/>
      <c r="D22" s="1100"/>
      <c r="E22" s="1100"/>
      <c r="F22" s="1100"/>
      <c r="G22" s="44"/>
      <c r="H22" s="1222"/>
      <c r="I22" s="1101"/>
      <c r="J22" s="1102"/>
      <c r="K22" s="1226"/>
    </row>
    <row r="23" spans="2:13" ht="13.2" customHeight="1" x14ac:dyDescent="0.25">
      <c r="B23" s="51" t="s">
        <v>252</v>
      </c>
      <c r="C23" s="44"/>
      <c r="D23" s="1100"/>
      <c r="E23" s="1100"/>
      <c r="F23" s="1100"/>
      <c r="G23" s="44"/>
      <c r="H23" s="1222">
        <f>' Field Task'!I20</f>
        <v>482</v>
      </c>
      <c r="I23" s="829" t="str">
        <f>IF('Form "B" Field'!J23&lt;1,"",'Form "B" Field'!J23)</f>
        <v/>
      </c>
      <c r="J23" s="716"/>
      <c r="K23" s="1226" t="str">
        <f t="shared" si="2"/>
        <v/>
      </c>
      <c r="M23" s="811" t="str">
        <f t="shared" si="1"/>
        <v/>
      </c>
    </row>
    <row r="24" spans="2:13" ht="13.2" customHeight="1" x14ac:dyDescent="0.25">
      <c r="B24" s="51" t="s">
        <v>254</v>
      </c>
      <c r="C24" s="44"/>
      <c r="D24" s="1100"/>
      <c r="E24" s="44"/>
      <c r="F24" s="44"/>
      <c r="G24" s="44"/>
      <c r="H24" s="1222">
        <f>' Field Task'!I24</f>
        <v>825</v>
      </c>
      <c r="I24" s="829" t="str">
        <f>IF('Form "B" Field'!J24&lt;1,"",'Form "B" Field'!J24)</f>
        <v/>
      </c>
      <c r="J24" s="716"/>
      <c r="K24" s="1226" t="str">
        <f t="shared" si="2"/>
        <v/>
      </c>
      <c r="M24" s="811" t="str">
        <f t="shared" si="1"/>
        <v/>
      </c>
    </row>
    <row r="25" spans="2:13" ht="13.2" customHeight="1" x14ac:dyDescent="0.25">
      <c r="B25" s="51" t="s">
        <v>257</v>
      </c>
      <c r="C25" s="44"/>
      <c r="D25" s="1100"/>
      <c r="E25" s="44"/>
      <c r="F25" s="44"/>
      <c r="G25" s="44"/>
      <c r="H25" s="1222">
        <f>' Field Task'!I28</f>
        <v>964</v>
      </c>
      <c r="I25" s="829" t="str">
        <f>IF('Form "B" Field'!J25&lt;1,"",'Form "B" Field'!J25)</f>
        <v/>
      </c>
      <c r="J25" s="788"/>
      <c r="K25" s="1226" t="str">
        <f t="shared" si="2"/>
        <v/>
      </c>
      <c r="M25" s="811" t="str">
        <f t="shared" si="1"/>
        <v/>
      </c>
    </row>
    <row r="26" spans="2:13" ht="13.2" customHeight="1" thickBot="1" x14ac:dyDescent="0.3">
      <c r="B26" s="51" t="s">
        <v>258</v>
      </c>
      <c r="C26" s="44"/>
      <c r="D26" s="44"/>
      <c r="E26" s="44"/>
      <c r="F26" s="44"/>
      <c r="G26" s="44"/>
      <c r="H26" s="1222">
        <f>' Field Task'!I32</f>
        <v>1205</v>
      </c>
      <c r="I26" s="829" t="str">
        <f>IF('Form "B" Field'!J26&lt;1,"",'Form "B" Field'!J26)</f>
        <v/>
      </c>
      <c r="J26" s="716"/>
      <c r="K26" s="1226" t="str">
        <f t="shared" si="2"/>
        <v/>
      </c>
      <c r="M26" s="811" t="str">
        <f t="shared" si="1"/>
        <v/>
      </c>
    </row>
    <row r="27" spans="2:13" ht="0.15" customHeight="1" thickBot="1" x14ac:dyDescent="0.3">
      <c r="B27" s="51"/>
      <c r="C27" s="44"/>
      <c r="D27" s="44"/>
      <c r="E27" s="44"/>
      <c r="F27" s="44"/>
      <c r="G27" s="44"/>
      <c r="H27" s="1222"/>
      <c r="I27" s="1103"/>
      <c r="J27" s="44"/>
      <c r="K27" s="1226"/>
      <c r="M27" s="811" t="str">
        <f t="shared" si="1"/>
        <v/>
      </c>
    </row>
    <row r="28" spans="2:13" ht="13.95" customHeight="1" thickBot="1" x14ac:dyDescent="0.3">
      <c r="B28" s="1095" t="s">
        <v>940</v>
      </c>
      <c r="C28" s="1096"/>
      <c r="D28" s="1096"/>
      <c r="E28" s="1096"/>
      <c r="F28" s="1096"/>
      <c r="G28" s="1096"/>
      <c r="H28" s="1275"/>
      <c r="I28" s="1096"/>
      <c r="J28" s="1096"/>
      <c r="K28" s="1276"/>
    </row>
    <row r="29" spans="2:13" ht="0.15" customHeight="1" x14ac:dyDescent="0.25">
      <c r="B29" s="1098"/>
      <c r="C29" s="827"/>
      <c r="D29" s="827"/>
      <c r="E29" s="827"/>
      <c r="F29" s="827"/>
      <c r="G29" s="827"/>
      <c r="H29" s="1230"/>
      <c r="I29" s="827"/>
      <c r="J29" s="827"/>
      <c r="K29" s="1228"/>
      <c r="M29" s="811" t="str">
        <f t="shared" si="1"/>
        <v/>
      </c>
    </row>
    <row r="30" spans="2:13" ht="13.2" customHeight="1" x14ac:dyDescent="0.25">
      <c r="B30" s="51" t="s">
        <v>934</v>
      </c>
      <c r="C30" s="44"/>
      <c r="D30" s="44"/>
      <c r="E30" s="44"/>
      <c r="F30" s="44"/>
      <c r="G30" s="44"/>
      <c r="H30" s="1222">
        <f>' Field Task'!I36</f>
        <v>431</v>
      </c>
      <c r="I30" s="829" t="str">
        <f>IF('Form "B" Field'!J30&lt;1,"",'Form "B" Field'!J30)</f>
        <v/>
      </c>
      <c r="J30" s="716"/>
      <c r="K30" s="1226" t="str">
        <f>IF(J30&lt;1,"",H30*J30)</f>
        <v/>
      </c>
      <c r="M30" s="811" t="str">
        <f t="shared" si="1"/>
        <v/>
      </c>
    </row>
    <row r="31" spans="2:13" ht="13.2" customHeight="1" x14ac:dyDescent="0.25">
      <c r="B31" s="51" t="s">
        <v>935</v>
      </c>
      <c r="C31" s="44"/>
      <c r="D31" s="44"/>
      <c r="E31" s="44"/>
      <c r="F31" s="44"/>
      <c r="G31" s="44"/>
      <c r="H31" s="1222">
        <f>' Field Task'!I38</f>
        <v>672</v>
      </c>
      <c r="I31" s="829" t="str">
        <f>IF('Form "B" Field'!J31&lt;1,"",'Form "B" Field'!J31)</f>
        <v/>
      </c>
      <c r="J31" s="716"/>
      <c r="K31" s="1226" t="str">
        <f>IF(J31&lt;1,"",H31*J31)</f>
        <v/>
      </c>
      <c r="M31" s="811" t="str">
        <f t="shared" si="1"/>
        <v/>
      </c>
    </row>
    <row r="32" spans="2:13" ht="13.2" customHeight="1" x14ac:dyDescent="0.25">
      <c r="B32" s="51" t="s">
        <v>936</v>
      </c>
      <c r="C32" s="44"/>
      <c r="D32" s="44"/>
      <c r="E32" s="44"/>
      <c r="F32" s="44"/>
      <c r="G32" s="44"/>
      <c r="H32" s="1222">
        <f>' Field Task'!I40</f>
        <v>913</v>
      </c>
      <c r="I32" s="829" t="str">
        <f>IF('Form "B" Field'!J32&lt;1,"",'Form "B" Field'!J32)</f>
        <v/>
      </c>
      <c r="J32" s="716"/>
      <c r="K32" s="1226" t="str">
        <f>IF(J32&lt;1,"",H32*J32)</f>
        <v/>
      </c>
      <c r="M32" s="811" t="str">
        <f t="shared" si="1"/>
        <v/>
      </c>
    </row>
    <row r="33" spans="2:13" ht="13.2" customHeight="1" x14ac:dyDescent="0.25">
      <c r="B33" s="51" t="s">
        <v>937</v>
      </c>
      <c r="C33" s="44"/>
      <c r="D33" s="44"/>
      <c r="E33" s="44"/>
      <c r="F33" s="44"/>
      <c r="G33" s="44"/>
      <c r="H33" s="1222">
        <f>' Field Task'!I42</f>
        <v>1154</v>
      </c>
      <c r="I33" s="854" t="str">
        <f>IF('Form "B" Field'!J33&lt;1,"",'Form "B" Field'!J33)</f>
        <v/>
      </c>
      <c r="J33" s="709"/>
      <c r="K33" s="1226" t="str">
        <f>IF(J33&lt;1,"",H33*J33)</f>
        <v/>
      </c>
      <c r="M33" s="811" t="str">
        <f t="shared" si="1"/>
        <v/>
      </c>
    </row>
    <row r="34" spans="2:13" ht="13.2" customHeight="1" thickBot="1" x14ac:dyDescent="0.3">
      <c r="B34" s="51" t="s">
        <v>938</v>
      </c>
      <c r="C34" s="44"/>
      <c r="D34" s="44"/>
      <c r="E34" s="44"/>
      <c r="F34" s="44"/>
      <c r="G34" s="44"/>
      <c r="H34" s="1222">
        <f>' Field Task'!I44</f>
        <v>1395</v>
      </c>
      <c r="I34" s="829" t="str">
        <f>IF('Form "B" Field'!J34&lt;1,"",'Form "B" Field'!J34)</f>
        <v/>
      </c>
      <c r="J34" s="716"/>
      <c r="K34" s="1226" t="str">
        <f>IF(J34&lt;1,"",H34*J34)</f>
        <v/>
      </c>
      <c r="M34" s="811" t="str">
        <f t="shared" si="1"/>
        <v/>
      </c>
    </row>
    <row r="35" spans="2:13" ht="13.2" customHeight="1" thickBot="1" x14ac:dyDescent="0.3">
      <c r="B35" s="1095" t="s">
        <v>941</v>
      </c>
      <c r="C35" s="1096"/>
      <c r="D35" s="1096"/>
      <c r="E35" s="1096"/>
      <c r="F35" s="1096"/>
      <c r="G35" s="1096"/>
      <c r="H35" s="1275"/>
      <c r="I35" s="1096"/>
      <c r="J35" s="1096"/>
      <c r="K35" s="1276"/>
    </row>
    <row r="36" spans="2:13" ht="0.15" customHeight="1" x14ac:dyDescent="0.25">
      <c r="B36" s="1098"/>
      <c r="C36" s="827"/>
      <c r="D36" s="827"/>
      <c r="E36" s="827"/>
      <c r="F36" s="827"/>
      <c r="G36" s="827"/>
      <c r="H36" s="1230"/>
      <c r="I36" s="827"/>
      <c r="J36" s="827"/>
      <c r="K36" s="1228"/>
      <c r="M36" s="811" t="str">
        <f t="shared" si="1"/>
        <v/>
      </c>
    </row>
    <row r="37" spans="2:13" ht="13.2" customHeight="1" x14ac:dyDescent="0.25">
      <c r="B37" s="51" t="s">
        <v>948</v>
      </c>
      <c r="C37" s="44"/>
      <c r="D37" s="44"/>
      <c r="E37" s="44"/>
      <c r="F37" s="44"/>
      <c r="G37" s="44"/>
      <c r="H37" s="1222">
        <f>' Field Task'!I58</f>
        <v>482</v>
      </c>
      <c r="I37" s="829" t="str">
        <f>IF('Form "B" Field'!J37&lt;1,"",'Form "B" Field'!J37)</f>
        <v/>
      </c>
      <c r="J37" s="716"/>
      <c r="K37" s="1226" t="str">
        <f>IF(J37&lt;1,"",H37*J37)</f>
        <v/>
      </c>
      <c r="M37" s="811" t="str">
        <f t="shared" si="1"/>
        <v/>
      </c>
    </row>
    <row r="38" spans="2:13" ht="13.2" customHeight="1" x14ac:dyDescent="0.25">
      <c r="B38" s="51" t="s">
        <v>949</v>
      </c>
      <c r="C38" s="44"/>
      <c r="D38" s="44"/>
      <c r="E38" s="44"/>
      <c r="F38" s="44"/>
      <c r="G38" s="44"/>
      <c r="H38" s="1222">
        <f>' Field Task'!I60</f>
        <v>723</v>
      </c>
      <c r="I38" s="829" t="str">
        <f>IF('Form "B" Field'!J38&lt;1,"",'Form "B" Field'!J38)</f>
        <v/>
      </c>
      <c r="J38" s="716"/>
      <c r="K38" s="1226" t="str">
        <f>IF(J38&lt;1,"",H38*J38)</f>
        <v/>
      </c>
      <c r="M38" s="811" t="str">
        <f t="shared" si="1"/>
        <v/>
      </c>
    </row>
    <row r="39" spans="2:13" ht="13.2" customHeight="1" x14ac:dyDescent="0.25">
      <c r="B39" s="51" t="s">
        <v>950</v>
      </c>
      <c r="C39" s="44"/>
      <c r="D39" s="44"/>
      <c r="E39" s="44"/>
      <c r="F39" s="44"/>
      <c r="G39" s="44"/>
      <c r="H39" s="1222">
        <f>' Field Task'!I62</f>
        <v>964</v>
      </c>
      <c r="I39" s="829" t="str">
        <f>IF('Form "B" Field'!J39&lt;1,"",'Form "B" Field'!J39)</f>
        <v/>
      </c>
      <c r="J39" s="716"/>
      <c r="K39" s="1226" t="str">
        <f>IF(J39&lt;1,"",H39*J39)</f>
        <v/>
      </c>
      <c r="M39" s="811" t="str">
        <f t="shared" si="1"/>
        <v/>
      </c>
    </row>
    <row r="40" spans="2:13" ht="13.2" customHeight="1" x14ac:dyDescent="0.25">
      <c r="B40" s="51" t="s">
        <v>951</v>
      </c>
      <c r="C40" s="44"/>
      <c r="D40" s="44"/>
      <c r="E40" s="44"/>
      <c r="F40" s="44"/>
      <c r="G40" s="44"/>
      <c r="H40" s="1222">
        <f>' Field Task'!I64</f>
        <v>1205</v>
      </c>
      <c r="I40" s="854" t="str">
        <f>IF('Form "B" Field'!J40&lt;1,"",'Form "B" Field'!J40)</f>
        <v/>
      </c>
      <c r="J40" s="709"/>
      <c r="K40" s="1226" t="str">
        <f>IF(J40&lt;1,"",H40*J40)</f>
        <v/>
      </c>
      <c r="M40" s="811" t="str">
        <f t="shared" si="1"/>
        <v/>
      </c>
    </row>
    <row r="41" spans="2:13" ht="13.2" customHeight="1" thickBot="1" x14ac:dyDescent="0.3">
      <c r="B41" s="51" t="s">
        <v>952</v>
      </c>
      <c r="C41" s="44"/>
      <c r="D41" s="44"/>
      <c r="E41" s="44"/>
      <c r="F41" s="44"/>
      <c r="G41" s="44"/>
      <c r="H41" s="1222">
        <f>' Field Task'!I66</f>
        <v>1446</v>
      </c>
      <c r="I41" s="854" t="str">
        <f>IF('Form "B" Field'!J41&lt;1,"",'Form "B" Field'!J41)</f>
        <v/>
      </c>
      <c r="J41" s="709"/>
      <c r="K41" s="1226" t="str">
        <f>IF(J41&lt;1,"",H41*J41)</f>
        <v/>
      </c>
      <c r="M41" s="811" t="str">
        <f t="shared" si="1"/>
        <v/>
      </c>
    </row>
    <row r="42" spans="2:13" ht="13.95" customHeight="1" thickBot="1" x14ac:dyDescent="0.3">
      <c r="B42" s="1095" t="s">
        <v>804</v>
      </c>
      <c r="C42" s="1096"/>
      <c r="D42" s="1096"/>
      <c r="E42" s="1096"/>
      <c r="F42" s="1096"/>
      <c r="G42" s="1096"/>
      <c r="H42" s="1275"/>
      <c r="I42" s="1096"/>
      <c r="J42" s="1096"/>
      <c r="K42" s="1276"/>
    </row>
    <row r="43" spans="2:13" ht="13.2" customHeight="1" x14ac:dyDescent="0.25">
      <c r="B43" s="51" t="s">
        <v>813</v>
      </c>
      <c r="C43" s="44"/>
      <c r="D43" s="44"/>
      <c r="E43" s="44"/>
      <c r="F43" s="44"/>
      <c r="G43" s="44"/>
      <c r="H43" s="1222">
        <f>' Field Task'!I70</f>
        <v>153</v>
      </c>
      <c r="I43" s="855" t="str">
        <f>IF('Form "B" Field'!J43&lt;1,"",'Form "B" Field'!J43)</f>
        <v/>
      </c>
      <c r="J43" s="713"/>
      <c r="K43" s="1226" t="str">
        <f t="shared" ref="K43:K48" si="3">IF(J43&lt;1,"",H43*J43)</f>
        <v/>
      </c>
      <c r="M43" s="811" t="str">
        <f t="shared" si="1"/>
        <v/>
      </c>
    </row>
    <row r="44" spans="2:13" ht="13.2" customHeight="1" x14ac:dyDescent="0.25">
      <c r="B44" s="51" t="s">
        <v>814</v>
      </c>
      <c r="C44" s="44"/>
      <c r="D44" s="44"/>
      <c r="E44" s="44"/>
      <c r="F44" s="44"/>
      <c r="G44" s="44"/>
      <c r="H44" s="1222">
        <f>' Field Task'!I72</f>
        <v>255</v>
      </c>
      <c r="I44" s="855" t="str">
        <f>IF('Form "B" Field'!J44&lt;1,"",'Form "B" Field'!J44)</f>
        <v/>
      </c>
      <c r="J44" s="716"/>
      <c r="K44" s="1226" t="str">
        <f t="shared" si="3"/>
        <v/>
      </c>
      <c r="M44" s="811" t="str">
        <f t="shared" si="1"/>
        <v/>
      </c>
    </row>
    <row r="45" spans="2:13" ht="13.2" customHeight="1" x14ac:dyDescent="0.25">
      <c r="B45" s="51" t="s">
        <v>815</v>
      </c>
      <c r="C45" s="44"/>
      <c r="D45" s="44"/>
      <c r="E45" s="44"/>
      <c r="F45" s="44"/>
      <c r="G45" s="44"/>
      <c r="H45" s="1222">
        <f>' Field Task'!I74</f>
        <v>357</v>
      </c>
      <c r="I45" s="855" t="str">
        <f>IF('Form "B" Field'!J45&lt;1,"",'Form "B" Field'!J45)</f>
        <v/>
      </c>
      <c r="J45" s="716"/>
      <c r="K45" s="1226" t="str">
        <f t="shared" si="3"/>
        <v/>
      </c>
      <c r="M45" s="811" t="str">
        <f t="shared" si="1"/>
        <v/>
      </c>
    </row>
    <row r="46" spans="2:13" ht="13.2" customHeight="1" x14ac:dyDescent="0.25">
      <c r="B46" s="51" t="s">
        <v>816</v>
      </c>
      <c r="C46" s="44"/>
      <c r="D46" s="44"/>
      <c r="E46" s="44"/>
      <c r="F46" s="44"/>
      <c r="G46" s="44"/>
      <c r="H46" s="1222">
        <f>' Field Task'!I76</f>
        <v>561</v>
      </c>
      <c r="I46" s="855" t="str">
        <f>IF('Form "B" Field'!J46&lt;1,"",'Form "B" Field'!J46)</f>
        <v/>
      </c>
      <c r="J46" s="716"/>
      <c r="K46" s="1226" t="str">
        <f t="shared" si="3"/>
        <v/>
      </c>
      <c r="M46" s="811" t="str">
        <f t="shared" si="1"/>
        <v/>
      </c>
    </row>
    <row r="47" spans="2:13" ht="13.2" customHeight="1" x14ac:dyDescent="0.25">
      <c r="B47" s="51" t="s">
        <v>669</v>
      </c>
      <c r="C47" s="44"/>
      <c r="D47" s="44"/>
      <c r="E47" s="44"/>
      <c r="F47" s="44"/>
      <c r="G47" s="44"/>
      <c r="H47" s="1222">
        <f>('Maximum Rates'!D7)*10</f>
        <v>1020</v>
      </c>
      <c r="I47" s="854" t="str">
        <f>IF('Form "B" Field'!J47&lt;1,"",'Form "B" Field'!J47)</f>
        <v/>
      </c>
      <c r="J47" s="709"/>
      <c r="K47" s="1226" t="str">
        <f t="shared" si="3"/>
        <v/>
      </c>
      <c r="M47" s="811" t="str">
        <f t="shared" si="1"/>
        <v/>
      </c>
    </row>
    <row r="48" spans="2:13" ht="13.2" customHeight="1" thickBot="1" x14ac:dyDescent="0.3">
      <c r="B48" s="51" t="s">
        <v>1305</v>
      </c>
      <c r="C48" s="44"/>
      <c r="D48" s="44"/>
      <c r="E48" s="44"/>
      <c r="F48" s="44"/>
      <c r="G48" s="44"/>
      <c r="H48" s="1222">
        <f>' Field Task'!C140</f>
        <v>1440</v>
      </c>
      <c r="I48" s="854" t="str">
        <f>IF('Form "B" Field'!J48&lt;1,"",'Form "B" Field'!J48)</f>
        <v/>
      </c>
      <c r="J48" s="709"/>
      <c r="K48" s="1226" t="str">
        <f t="shared" si="3"/>
        <v/>
      </c>
    </row>
    <row r="49" spans="2:13" ht="13.95" customHeight="1" thickBot="1" x14ac:dyDescent="0.3">
      <c r="B49" s="1104" t="s">
        <v>719</v>
      </c>
      <c r="C49" s="1096"/>
      <c r="D49" s="1096"/>
      <c r="E49" s="1096"/>
      <c r="F49" s="1096"/>
      <c r="G49" s="1096"/>
      <c r="H49" s="1275"/>
      <c r="I49" s="1096"/>
      <c r="J49" s="1096"/>
      <c r="K49" s="1276"/>
    </row>
    <row r="50" spans="2:13" ht="13.2" customHeight="1" x14ac:dyDescent="0.25">
      <c r="B50" s="834" t="s">
        <v>1207</v>
      </c>
      <c r="C50" s="835"/>
      <c r="D50" s="835"/>
      <c r="E50" s="835"/>
      <c r="F50" s="835"/>
      <c r="G50" s="835"/>
      <c r="H50" s="1231">
        <f>' Field Task'!I88</f>
        <v>111</v>
      </c>
      <c r="I50" s="1105" t="str">
        <f>IF('Form "B" Field'!J50&lt;1,"",'Form "B" Field'!J50)</f>
        <v/>
      </c>
      <c r="J50" s="847"/>
      <c r="K50" s="1227" t="str">
        <f t="shared" ref="K50:K80" si="4">IF(J50&lt;1,"",H50*J50)</f>
        <v/>
      </c>
      <c r="M50" s="811" t="str">
        <f t="shared" si="1"/>
        <v/>
      </c>
    </row>
    <row r="51" spans="2:13" ht="13.2" customHeight="1" x14ac:dyDescent="0.25">
      <c r="B51" s="51" t="s">
        <v>356</v>
      </c>
      <c r="C51" s="44"/>
      <c r="D51" s="44"/>
      <c r="E51" s="44"/>
      <c r="F51" s="44"/>
      <c r="G51" s="44"/>
      <c r="H51" s="1222">
        <f>' Field Task'!I86</f>
        <v>352</v>
      </c>
      <c r="I51" s="829" t="str">
        <f>IF('Form "B" Field'!J51&lt;1,"",'Form "B" Field'!J51)</f>
        <v/>
      </c>
      <c r="J51" s="716"/>
      <c r="K51" s="1226" t="str">
        <f t="shared" si="4"/>
        <v/>
      </c>
      <c r="M51" s="811" t="str">
        <f t="shared" si="1"/>
        <v/>
      </c>
    </row>
    <row r="52" spans="2:13" ht="13.2" customHeight="1" x14ac:dyDescent="0.25">
      <c r="B52" s="51" t="s">
        <v>523</v>
      </c>
      <c r="C52" s="44"/>
      <c r="D52" s="44"/>
      <c r="E52" s="44"/>
      <c r="F52" s="44"/>
      <c r="G52" s="44"/>
      <c r="H52" s="1222">
        <f>' Field Task'!I82</f>
        <v>408</v>
      </c>
      <c r="I52" s="829" t="str">
        <f>IF('Form "B" Field'!J52&lt;1,"",'Form "B" Field'!J52)</f>
        <v/>
      </c>
      <c r="J52" s="716"/>
      <c r="K52" s="1226" t="str">
        <f t="shared" si="4"/>
        <v/>
      </c>
      <c r="M52" s="811" t="str">
        <f t="shared" si="1"/>
        <v/>
      </c>
    </row>
    <row r="53" spans="2:13" ht="13.2" customHeight="1" x14ac:dyDescent="0.25">
      <c r="B53" s="51" t="s">
        <v>1219</v>
      </c>
      <c r="C53" s="44"/>
      <c r="D53" s="44"/>
      <c r="E53" s="44"/>
      <c r="F53" s="44"/>
      <c r="G53" s="44"/>
      <c r="H53" s="1222">
        <f>' Field Task'!I84</f>
        <v>296</v>
      </c>
      <c r="I53" s="829" t="str">
        <f>IF('Form "B" Field'!J53&lt;1,"",'Form "B" Field'!J53)</f>
        <v/>
      </c>
      <c r="J53" s="716"/>
      <c r="K53" s="1226" t="str">
        <f t="shared" si="4"/>
        <v/>
      </c>
      <c r="M53" s="811" t="str">
        <f t="shared" si="1"/>
        <v/>
      </c>
    </row>
    <row r="54" spans="2:13" ht="13.2" customHeight="1" x14ac:dyDescent="0.25">
      <c r="B54" s="51" t="s">
        <v>1279</v>
      </c>
      <c r="C54" s="44"/>
      <c r="D54" s="44"/>
      <c r="E54" s="44"/>
      <c r="F54" s="44"/>
      <c r="G54" s="44"/>
      <c r="H54" s="1222">
        <f>' Field Task'!I127</f>
        <v>102</v>
      </c>
      <c r="I54" s="829" t="str">
        <f>IF('Form "B" Field'!J54&lt;1,"",'Form "B" Field'!J54)</f>
        <v/>
      </c>
      <c r="J54" s="716"/>
      <c r="K54" s="1226" t="str">
        <f t="shared" si="4"/>
        <v/>
      </c>
      <c r="M54" s="811" t="str">
        <f t="shared" ref="M54:M59" si="5">IF(I54="","",(I54*H54))</f>
        <v/>
      </c>
    </row>
    <row r="55" spans="2:13" ht="13.2" customHeight="1" x14ac:dyDescent="0.25">
      <c r="B55" s="51" t="s">
        <v>1205</v>
      </c>
      <c r="C55" s="44"/>
      <c r="D55" s="44"/>
      <c r="E55" s="44"/>
      <c r="F55" s="44"/>
      <c r="G55" s="44"/>
      <c r="H55" s="1222">
        <f>' Field Task'!I123</f>
        <v>306</v>
      </c>
      <c r="I55" s="829" t="str">
        <f>IF('Form "B" Field'!J55&lt;1,"",'Form "B" Field'!J55)</f>
        <v/>
      </c>
      <c r="J55" s="716"/>
      <c r="K55" s="1226" t="str">
        <f t="shared" si="4"/>
        <v/>
      </c>
      <c r="M55" s="811" t="str">
        <f t="shared" si="5"/>
        <v/>
      </c>
    </row>
    <row r="56" spans="2:13" ht="13.2" customHeight="1" x14ac:dyDescent="0.25">
      <c r="B56" s="51" t="s">
        <v>1206</v>
      </c>
      <c r="C56" s="44"/>
      <c r="D56" s="44"/>
      <c r="E56" s="44"/>
      <c r="F56" s="44"/>
      <c r="G56" s="44"/>
      <c r="H56" s="1222">
        <f>' Field Task'!I125</f>
        <v>153</v>
      </c>
      <c r="I56" s="829" t="str">
        <f>IF('Form "B" Field'!J56&lt;1,"",'Form "B" Field'!J56)</f>
        <v/>
      </c>
      <c r="J56" s="716"/>
      <c r="K56" s="1226" t="str">
        <f t="shared" si="4"/>
        <v/>
      </c>
      <c r="M56" s="811" t="str">
        <f t="shared" si="5"/>
        <v/>
      </c>
    </row>
    <row r="57" spans="2:13" ht="13.2" customHeight="1" x14ac:dyDescent="0.25">
      <c r="B57" s="51" t="s">
        <v>860</v>
      </c>
      <c r="C57" s="44"/>
      <c r="D57" s="44"/>
      <c r="E57" s="44"/>
      <c r="F57" s="44"/>
      <c r="G57" s="44"/>
      <c r="H57" s="1222">
        <f>' Field Task'!I80</f>
        <v>148</v>
      </c>
      <c r="I57" s="829" t="str">
        <f>IF('Form "B" Field'!J57&lt;1,"",'Form "B" Field'!J57)</f>
        <v/>
      </c>
      <c r="J57" s="716"/>
      <c r="K57" s="1226" t="str">
        <f t="shared" si="4"/>
        <v/>
      </c>
      <c r="M57" s="811" t="str">
        <f t="shared" si="5"/>
        <v/>
      </c>
    </row>
    <row r="58" spans="2:13" ht="13.2" customHeight="1" x14ac:dyDescent="0.25">
      <c r="B58" s="51" t="s">
        <v>1229</v>
      </c>
      <c r="C58" s="44"/>
      <c r="D58" s="44"/>
      <c r="E58" s="44"/>
      <c r="F58" s="44"/>
      <c r="G58" s="44"/>
      <c r="H58" s="1222">
        <f>' Field Task'!I90</f>
        <v>148</v>
      </c>
      <c r="I58" s="829" t="str">
        <f>IF('Form "B" Field'!J58&lt;1,"",'Form "B" Field'!J58)</f>
        <v/>
      </c>
      <c r="J58" s="716"/>
      <c r="K58" s="1226" t="str">
        <f t="shared" si="4"/>
        <v/>
      </c>
      <c r="M58" s="811" t="str">
        <f t="shared" si="5"/>
        <v/>
      </c>
    </row>
    <row r="59" spans="2:13" ht="13.2" customHeight="1" x14ac:dyDescent="0.25">
      <c r="B59" s="51" t="s">
        <v>1231</v>
      </c>
      <c r="C59" s="44"/>
      <c r="D59" s="44"/>
      <c r="E59" s="44"/>
      <c r="F59" s="44"/>
      <c r="G59" s="44"/>
      <c r="H59" s="1222">
        <f>' Field Task'!I92</f>
        <v>111</v>
      </c>
      <c r="I59" s="829" t="str">
        <f>IF('Form "B" Field'!J59&lt;1,"",'Form "B" Field'!J59)</f>
        <v/>
      </c>
      <c r="J59" s="716"/>
      <c r="K59" s="1226" t="str">
        <f t="shared" si="4"/>
        <v/>
      </c>
      <c r="M59" s="811" t="str">
        <f t="shared" si="5"/>
        <v/>
      </c>
    </row>
    <row r="60" spans="2:13" ht="13.2" customHeight="1" x14ac:dyDescent="0.25">
      <c r="B60" s="51" t="s">
        <v>396</v>
      </c>
      <c r="C60" s="44"/>
      <c r="D60" s="44"/>
      <c r="E60" s="44"/>
      <c r="F60" s="44"/>
      <c r="G60" s="44"/>
      <c r="H60" s="1222">
        <f>' Field Task'!I94</f>
        <v>18.5</v>
      </c>
      <c r="I60" s="829" t="str">
        <f>IF('Form "B" Field'!J60&lt;1,"",'Form "B" Field'!J60)</f>
        <v/>
      </c>
      <c r="J60" s="716"/>
      <c r="K60" s="1226" t="str">
        <f t="shared" si="4"/>
        <v/>
      </c>
      <c r="M60" s="811" t="str">
        <f t="shared" si="1"/>
        <v/>
      </c>
    </row>
    <row r="61" spans="2:13" ht="13.2" customHeight="1" x14ac:dyDescent="0.25">
      <c r="B61" s="51" t="s">
        <v>263</v>
      </c>
      <c r="C61" s="44"/>
      <c r="D61" s="44"/>
      <c r="E61" s="44"/>
      <c r="F61" s="44"/>
      <c r="G61" s="44"/>
      <c r="H61" s="1222">
        <f>' Field Task'!I96</f>
        <v>74</v>
      </c>
      <c r="I61" s="829" t="str">
        <f>IF('Form "B" Field'!J61&lt;1,"",'Form "B" Field'!J61)</f>
        <v/>
      </c>
      <c r="J61" s="716"/>
      <c r="K61" s="1226" t="str">
        <f t="shared" si="4"/>
        <v/>
      </c>
      <c r="M61" s="811" t="str">
        <f t="shared" si="1"/>
        <v/>
      </c>
    </row>
    <row r="62" spans="2:13" ht="13.2" customHeight="1" thickBot="1" x14ac:dyDescent="0.3">
      <c r="B62" s="52" t="s">
        <v>264</v>
      </c>
      <c r="C62" s="663"/>
      <c r="D62" s="663"/>
      <c r="E62" s="663"/>
      <c r="F62" s="663"/>
      <c r="G62" s="1106">
        <f>SUM(J61:J63)</f>
        <v>0</v>
      </c>
      <c r="H62" s="1232">
        <f>' Field Task'!I98</f>
        <v>85.1</v>
      </c>
      <c r="I62" s="1107" t="str">
        <f>IF('Form "B" Field'!J62&lt;1,"",'Form "B" Field'!J62)</f>
        <v/>
      </c>
      <c r="J62" s="789"/>
      <c r="K62" s="1242" t="str">
        <f t="shared" si="4"/>
        <v/>
      </c>
      <c r="M62" s="811" t="str">
        <f t="shared" si="1"/>
        <v/>
      </c>
    </row>
    <row r="63" spans="2:13" ht="13.2" customHeight="1" x14ac:dyDescent="0.25">
      <c r="B63" s="834" t="s">
        <v>265</v>
      </c>
      <c r="C63" s="835"/>
      <c r="D63" s="835"/>
      <c r="E63" s="835"/>
      <c r="F63" s="835"/>
      <c r="G63" s="1108">
        <f>(SUM(J61:J63)*'Maximum Rates'!C18)</f>
        <v>0</v>
      </c>
      <c r="H63" s="1231">
        <f>' Field Task'!I100</f>
        <v>92.5</v>
      </c>
      <c r="I63" s="1105" t="str">
        <f>IF('Form "B" Field'!J63&lt;1,"",'Form "B" Field'!J63)</f>
        <v/>
      </c>
      <c r="J63" s="847"/>
      <c r="K63" s="1227" t="str">
        <f t="shared" si="4"/>
        <v/>
      </c>
      <c r="M63" s="811" t="str">
        <f t="shared" si="1"/>
        <v/>
      </c>
    </row>
    <row r="64" spans="2:13" ht="13.2" customHeight="1" x14ac:dyDescent="0.25">
      <c r="B64" s="51" t="s">
        <v>110</v>
      </c>
      <c r="C64" s="44"/>
      <c r="D64" s="44"/>
      <c r="E64" s="44"/>
      <c r="F64" s="1109"/>
      <c r="G64" s="44"/>
      <c r="H64" s="1225">
        <f>' Field Task'!I102</f>
        <v>148</v>
      </c>
      <c r="I64" s="855" t="str">
        <f>IF('Form "B" Field'!J64&lt;1,"",'Form "B" Field'!J64)</f>
        <v/>
      </c>
      <c r="J64" s="713"/>
      <c r="K64" s="1243" t="str">
        <f t="shared" si="4"/>
        <v/>
      </c>
      <c r="M64" s="811" t="str">
        <f t="shared" si="1"/>
        <v/>
      </c>
    </row>
    <row r="65" spans="2:13" ht="13.2" customHeight="1" x14ac:dyDescent="0.25">
      <c r="B65" s="51" t="s">
        <v>111</v>
      </c>
      <c r="C65" s="44"/>
      <c r="D65" s="44"/>
      <c r="E65" s="44"/>
      <c r="F65" s="1109"/>
      <c r="G65" s="44"/>
      <c r="H65" s="1222">
        <f>' Field Task'!I104</f>
        <v>111</v>
      </c>
      <c r="I65" s="829" t="str">
        <f>IF('Form "B" Field'!J65&lt;1,"",'Form "B" Field'!J65)</f>
        <v/>
      </c>
      <c r="J65" s="716"/>
      <c r="K65" s="1226" t="str">
        <f t="shared" si="4"/>
        <v/>
      </c>
      <c r="M65" s="811" t="str">
        <f t="shared" si="1"/>
        <v/>
      </c>
    </row>
    <row r="66" spans="2:13" ht="13.2" customHeight="1" x14ac:dyDescent="0.25">
      <c r="B66" s="51" t="s">
        <v>266</v>
      </c>
      <c r="C66" s="44"/>
      <c r="D66" s="44"/>
      <c r="E66" s="44"/>
      <c r="F66" s="1109"/>
      <c r="G66" s="44"/>
      <c r="H66" s="1222">
        <f>' Field Task'!I106</f>
        <v>111</v>
      </c>
      <c r="I66" s="829" t="str">
        <f>IF('Form "B" Field'!J66&lt;1,"",'Form "B" Field'!J66)</f>
        <v/>
      </c>
      <c r="J66" s="716"/>
      <c r="K66" s="1226" t="str">
        <f t="shared" si="4"/>
        <v/>
      </c>
      <c r="M66" s="811" t="str">
        <f t="shared" si="1"/>
        <v/>
      </c>
    </row>
    <row r="67" spans="2:13" ht="13.2" customHeight="1" x14ac:dyDescent="0.25">
      <c r="B67" s="51" t="s">
        <v>1054</v>
      </c>
      <c r="C67" s="44"/>
      <c r="D67" s="44"/>
      <c r="E67" s="44"/>
      <c r="F67" s="1109"/>
      <c r="G67" s="44"/>
      <c r="H67" s="1222">
        <f>' Field Task'!I108</f>
        <v>204</v>
      </c>
      <c r="I67" s="829" t="str">
        <f>IF('Form "B" Field'!J67&lt;1,"",'Form "B" Field'!J67)</f>
        <v/>
      </c>
      <c r="J67" s="716"/>
      <c r="K67" s="1226" t="str">
        <f t="shared" si="4"/>
        <v/>
      </c>
      <c r="M67" s="811" t="str">
        <f t="shared" si="1"/>
        <v/>
      </c>
    </row>
    <row r="68" spans="2:13" ht="13.2" customHeight="1" x14ac:dyDescent="0.25">
      <c r="B68" s="51" t="s">
        <v>1055</v>
      </c>
      <c r="C68" s="44"/>
      <c r="D68" s="44"/>
      <c r="E68" s="44"/>
      <c r="F68" s="1109"/>
      <c r="G68" s="44"/>
      <c r="H68" s="1222">
        <f>' Field Task'!I110</f>
        <v>102</v>
      </c>
      <c r="I68" s="829" t="str">
        <f>IF('Form "B" Field'!J68&lt;1,"",'Form "B" Field'!J68)</f>
        <v/>
      </c>
      <c r="J68" s="716"/>
      <c r="K68" s="1226" t="str">
        <f t="shared" si="4"/>
        <v/>
      </c>
      <c r="M68" s="811" t="str">
        <f t="shared" si="1"/>
        <v/>
      </c>
    </row>
    <row r="69" spans="2:13" ht="13.2" customHeight="1" x14ac:dyDescent="0.25">
      <c r="B69" s="51" t="s">
        <v>1019</v>
      </c>
      <c r="C69" s="44"/>
      <c r="D69" s="44"/>
      <c r="E69" s="44"/>
      <c r="F69" s="47"/>
      <c r="G69" s="44"/>
      <c r="H69" s="1222">
        <f>'Maximum Rates'!D9</f>
        <v>74</v>
      </c>
      <c r="I69" s="829" t="str">
        <f>IF('Form "B" Field'!J69&lt;1,"",'Form "B" Field'!J69)</f>
        <v/>
      </c>
      <c r="J69" s="716"/>
      <c r="K69" s="1226" t="str">
        <f t="shared" si="4"/>
        <v/>
      </c>
      <c r="M69" s="811" t="str">
        <f t="shared" si="1"/>
        <v/>
      </c>
    </row>
    <row r="70" spans="2:13" ht="13.2" customHeight="1" x14ac:dyDescent="0.25">
      <c r="B70" s="51" t="s">
        <v>44</v>
      </c>
      <c r="C70" s="44"/>
      <c r="D70" s="44"/>
      <c r="E70" s="44"/>
      <c r="F70" s="44"/>
      <c r="G70" s="44"/>
      <c r="H70" s="1225">
        <f>('Maximum Rates'!D7)+'Maximum Rates'!D9</f>
        <v>176</v>
      </c>
      <c r="I70" s="829" t="str">
        <f>IF('Form "B" Field'!J70&lt;1,"",'Form "B" Field'!J70)</f>
        <v/>
      </c>
      <c r="J70" s="716"/>
      <c r="K70" s="1226" t="str">
        <f t="shared" si="4"/>
        <v/>
      </c>
      <c r="M70" s="811" t="str">
        <f t="shared" si="1"/>
        <v/>
      </c>
    </row>
    <row r="71" spans="2:13" ht="13.2" customHeight="1" x14ac:dyDescent="0.25">
      <c r="B71" s="51" t="s">
        <v>634</v>
      </c>
      <c r="C71" s="44"/>
      <c r="D71" s="44"/>
      <c r="E71" s="44"/>
      <c r="F71" s="44"/>
      <c r="G71" s="44"/>
      <c r="H71" s="1222">
        <f>' Field Task'!I113</f>
        <v>918</v>
      </c>
      <c r="I71" s="829" t="str">
        <f>IF('Form "B" Field'!J71&lt;1,"",'Form "B" Field'!J71)</f>
        <v/>
      </c>
      <c r="J71" s="716"/>
      <c r="K71" s="1243" t="str">
        <f t="shared" si="4"/>
        <v/>
      </c>
      <c r="M71" s="811" t="str">
        <f t="shared" si="1"/>
        <v/>
      </c>
    </row>
    <row r="72" spans="2:13" ht="13.2" customHeight="1" x14ac:dyDescent="0.25">
      <c r="B72" s="51" t="s">
        <v>974</v>
      </c>
      <c r="C72" s="44"/>
      <c r="D72" s="44"/>
      <c r="E72" s="44"/>
      <c r="F72" s="44"/>
      <c r="G72" s="44"/>
      <c r="H72" s="1222">
        <f>'Corrective Action Plans'!L175</f>
        <v>1120</v>
      </c>
      <c r="I72" s="855" t="str">
        <f>IF('Form "B" Field'!J72&lt;1,"",'Form "B" Field'!J72)</f>
        <v/>
      </c>
      <c r="J72" s="716"/>
      <c r="K72" s="1226" t="str">
        <f t="shared" si="4"/>
        <v/>
      </c>
      <c r="M72" s="811" t="str">
        <f t="shared" si="1"/>
        <v/>
      </c>
    </row>
    <row r="73" spans="2:13" ht="13.2" customHeight="1" x14ac:dyDescent="0.25">
      <c r="B73" s="51" t="s">
        <v>491</v>
      </c>
      <c r="C73" s="44"/>
      <c r="D73" s="44"/>
      <c r="E73" s="44"/>
      <c r="F73" s="44"/>
      <c r="G73" s="44"/>
      <c r="H73" s="1222">
        <f>' Field Task'!C130</f>
        <v>10212</v>
      </c>
      <c r="I73" s="855" t="str">
        <f>IF('Form "B" Field'!J73&lt;1,"",'Form "B" Field'!J73)</f>
        <v/>
      </c>
      <c r="J73" s="716"/>
      <c r="K73" s="1226" t="str">
        <f t="shared" si="4"/>
        <v/>
      </c>
      <c r="M73" s="811" t="str">
        <f t="shared" si="1"/>
        <v/>
      </c>
    </row>
    <row r="74" spans="2:13" ht="13.2" customHeight="1" x14ac:dyDescent="0.25">
      <c r="B74" s="51" t="s">
        <v>485</v>
      </c>
      <c r="C74" s="44"/>
      <c r="D74" s="44"/>
      <c r="E74" s="44"/>
      <c r="F74" s="44"/>
      <c r="G74" s="44"/>
      <c r="H74" s="1222">
        <f>' Field Task'!C135</f>
        <v>1142</v>
      </c>
      <c r="I74" s="855" t="str">
        <f>IF('Form "B" Field'!J74&lt;1,"",'Form "B" Field'!J74)</f>
        <v/>
      </c>
      <c r="J74" s="716"/>
      <c r="K74" s="1226" t="str">
        <f t="shared" si="4"/>
        <v/>
      </c>
      <c r="M74" s="811" t="str">
        <f t="shared" si="1"/>
        <v/>
      </c>
    </row>
    <row r="75" spans="2:13" ht="13.2" customHeight="1" x14ac:dyDescent="0.25">
      <c r="B75" s="51" t="s">
        <v>488</v>
      </c>
      <c r="C75" s="44"/>
      <c r="D75" s="44"/>
      <c r="E75" s="44"/>
      <c r="F75" s="44"/>
      <c r="G75" s="44"/>
      <c r="H75" s="1222">
        <f>' Field Task'!I130</f>
        <v>1952</v>
      </c>
      <c r="I75" s="855" t="str">
        <f>IF('Form "B" Field'!J75&lt;1,"",'Form "B" Field'!J75)</f>
        <v/>
      </c>
      <c r="J75" s="716"/>
      <c r="K75" s="1226" t="str">
        <f t="shared" si="4"/>
        <v/>
      </c>
      <c r="M75" s="811" t="str">
        <f t="shared" si="1"/>
        <v/>
      </c>
    </row>
    <row r="76" spans="2:13" ht="13.2" customHeight="1" x14ac:dyDescent="0.25">
      <c r="B76" s="51" t="s">
        <v>1056</v>
      </c>
      <c r="C76" s="44"/>
      <c r="D76" s="44"/>
      <c r="E76" s="44"/>
      <c r="F76" s="44"/>
      <c r="G76" s="44"/>
      <c r="H76" s="1222">
        <f>' Field Task'!I135</f>
        <v>1212</v>
      </c>
      <c r="I76" s="855" t="str">
        <f>IF('Form "B" Field'!J76&lt;1,"",'Form "B" Field'!J76)</f>
        <v/>
      </c>
      <c r="J76" s="716"/>
      <c r="K76" s="1226" t="str">
        <f t="shared" si="4"/>
        <v/>
      </c>
      <c r="M76" s="811" t="str">
        <f t="shared" si="1"/>
        <v/>
      </c>
    </row>
    <row r="77" spans="2:13" ht="13.2" customHeight="1" x14ac:dyDescent="0.25">
      <c r="B77" s="51" t="s">
        <v>805</v>
      </c>
      <c r="C77" s="44"/>
      <c r="D77" s="44"/>
      <c r="E77" s="44"/>
      <c r="F77" s="44"/>
      <c r="G77" s="44"/>
      <c r="H77" s="1222">
        <f>' Field Task'!I115</f>
        <v>4528</v>
      </c>
      <c r="I77" s="855" t="str">
        <f>IF('Form "B" Field'!J77&lt;1,"",'Form "B" Field'!J77)</f>
        <v/>
      </c>
      <c r="J77" s="716"/>
      <c r="K77" s="1226" t="str">
        <f t="shared" si="4"/>
        <v/>
      </c>
      <c r="M77" s="811" t="str">
        <f t="shared" si="1"/>
        <v/>
      </c>
    </row>
    <row r="78" spans="2:13" ht="13.2" customHeight="1" x14ac:dyDescent="0.25">
      <c r="B78" s="51" t="s">
        <v>806</v>
      </c>
      <c r="C78" s="44"/>
      <c r="D78" s="44"/>
      <c r="E78" s="44"/>
      <c r="F78" s="44"/>
      <c r="G78" s="44"/>
      <c r="H78" s="1222">
        <f>' Field Task'!I119</f>
        <v>5712</v>
      </c>
      <c r="I78" s="855" t="str">
        <f>IF('Form "B" Field'!J78&lt;1,"",'Form "B" Field'!J78)</f>
        <v/>
      </c>
      <c r="J78" s="716"/>
      <c r="K78" s="1226" t="str">
        <f t="shared" si="4"/>
        <v/>
      </c>
      <c r="M78" s="811" t="str">
        <f t="shared" si="1"/>
        <v/>
      </c>
    </row>
    <row r="79" spans="2:13" ht="13.2" customHeight="1" x14ac:dyDescent="0.25">
      <c r="B79" s="51" t="s">
        <v>789</v>
      </c>
      <c r="C79" s="44"/>
      <c r="D79" s="44"/>
      <c r="E79" s="44"/>
      <c r="F79" s="44"/>
      <c r="G79" s="44"/>
      <c r="H79" s="1222">
        <f>' Field Task'!I117</f>
        <v>2264</v>
      </c>
      <c r="I79" s="855" t="str">
        <f>IF('Form "B" Field'!J79&lt;1,"",'Form "B" Field'!J79)</f>
        <v/>
      </c>
      <c r="J79" s="716"/>
      <c r="K79" s="1226" t="str">
        <f t="shared" si="4"/>
        <v/>
      </c>
      <c r="M79" s="811" t="str">
        <f>IF(I79="","",(I79*H79))</f>
        <v/>
      </c>
    </row>
    <row r="80" spans="2:13" ht="13.2" customHeight="1" x14ac:dyDescent="0.25">
      <c r="B80" s="51" t="s">
        <v>790</v>
      </c>
      <c r="C80" s="44"/>
      <c r="D80" s="44"/>
      <c r="E80" s="44"/>
      <c r="F80" s="44"/>
      <c r="G80" s="44"/>
      <c r="H80" s="1222">
        <f>' Field Task'!I121</f>
        <v>2856</v>
      </c>
      <c r="I80" s="855" t="str">
        <f>IF('Form "B" Field'!J80&lt;1,"",'Form "B" Field'!J80)</f>
        <v/>
      </c>
      <c r="J80" s="716"/>
      <c r="K80" s="1226" t="str">
        <f t="shared" si="4"/>
        <v/>
      </c>
      <c r="M80" s="811" t="str">
        <f>IF(I80="","",(I80*H80))</f>
        <v/>
      </c>
    </row>
    <row r="81" spans="2:13" ht="13.2" customHeight="1" x14ac:dyDescent="0.25">
      <c r="B81" s="51" t="s">
        <v>1242</v>
      </c>
      <c r="C81" s="44"/>
      <c r="D81" s="1293"/>
      <c r="E81" s="1294"/>
      <c r="F81" s="1294"/>
      <c r="G81" s="1295"/>
      <c r="H81" s="1353"/>
      <c r="I81" s="855" t="str">
        <f>IF('Form "B" Field'!J81&lt;1,"",'Form "B" Field'!J81)</f>
        <v/>
      </c>
      <c r="J81" s="716"/>
      <c r="K81" s="1226" t="str">
        <f>IF(J81&lt;1,"",IF('Form "B" Field'!G81=0,"",IF('Form "B" Field'!G81&lt;H81,'Form "B" Field'!G81,H81*J81)))</f>
        <v/>
      </c>
    </row>
    <row r="82" spans="2:13" ht="13.2" customHeight="1" x14ac:dyDescent="0.25">
      <c r="B82" s="51" t="s">
        <v>92</v>
      </c>
      <c r="C82" s="44"/>
      <c r="D82" s="44"/>
      <c r="E82" s="44"/>
      <c r="F82" s="44"/>
      <c r="G82" s="44"/>
      <c r="H82" s="1554">
        <f>IF('PR Form "F" Details'!L44=0,0,'PR Form "F" Details'!L44)</f>
        <v>0</v>
      </c>
      <c r="I82" s="1168" t="str">
        <f>IF('Form "F" Details'!K45=0,"",'Form "F" Details'!K45)</f>
        <v/>
      </c>
      <c r="J82" s="1170" t="str">
        <f>IF('PR Form "F" Details'!L44=0,"",1)</f>
        <v/>
      </c>
      <c r="K82" s="1226" t="str">
        <f>IF(J82="","",IF(I82="","",H82))</f>
        <v/>
      </c>
      <c r="M82" s="811" t="str">
        <f>IF(I82="","",(I82*H82))</f>
        <v/>
      </c>
    </row>
    <row r="83" spans="2:13" ht="13.2" customHeight="1" thickBot="1" x14ac:dyDescent="0.3">
      <c r="B83" s="51" t="s">
        <v>1145</v>
      </c>
      <c r="C83" s="44"/>
      <c r="D83" s="44"/>
      <c r="E83" s="44"/>
      <c r="F83" s="44"/>
      <c r="G83" s="44"/>
      <c r="H83" s="1554">
        <f>IF('PR Form "F" Details'!K117=0,0,'PR Form "F" Details'!K117)</f>
        <v>0</v>
      </c>
      <c r="I83" s="1168" t="str">
        <f>IF('Form "F" Details'!K116=0,"",'Form "F" Details'!K116)</f>
        <v/>
      </c>
      <c r="J83" s="1170" t="str">
        <f>IF('PR Form "F" Details'!K117=0,"",1)</f>
        <v/>
      </c>
      <c r="K83" s="1226" t="str">
        <f>IF(J83="","",IF(I83="","",H83))</f>
        <v/>
      </c>
      <c r="M83" s="811" t="str">
        <f>IF(I83="","",(I83*H83))</f>
        <v/>
      </c>
    </row>
    <row r="84" spans="2:13" ht="13.8" thickBot="1" x14ac:dyDescent="0.3">
      <c r="B84" s="1110" t="s">
        <v>619</v>
      </c>
      <c r="C84" s="1111"/>
      <c r="D84" s="1111"/>
      <c r="E84" s="1111"/>
      <c r="F84" s="1111"/>
      <c r="G84" s="1111"/>
      <c r="H84" s="1273"/>
      <c r="I84" s="1111"/>
      <c r="J84" s="1111"/>
      <c r="K84" s="1274"/>
    </row>
    <row r="85" spans="2:13" ht="13.2" customHeight="1" x14ac:dyDescent="0.25">
      <c r="B85" s="20" t="s">
        <v>1021</v>
      </c>
      <c r="C85" s="21"/>
      <c r="D85" s="21"/>
      <c r="E85" s="21"/>
      <c r="F85" s="21"/>
      <c r="G85" s="21"/>
      <c r="H85" s="1233"/>
      <c r="I85" s="1112" t="str">
        <f>IF('Form "B" Field'!J85="","",'Form "B" Field'!J85)</f>
        <v/>
      </c>
      <c r="J85" s="790"/>
      <c r="K85" s="1244"/>
      <c r="M85" s="811" t="str">
        <f>IF(I85="","",(I85*H85))</f>
        <v/>
      </c>
    </row>
    <row r="86" spans="2:13" ht="13.2" customHeight="1" x14ac:dyDescent="0.25">
      <c r="B86" s="878" t="s">
        <v>975</v>
      </c>
      <c r="C86" s="621"/>
      <c r="D86" s="621"/>
      <c r="E86" s="621"/>
      <c r="F86" s="2215"/>
      <c r="G86" s="2215"/>
      <c r="H86" s="1234"/>
      <c r="I86" s="829" t="str">
        <f>IF('Form "B" Field'!J86="","",'Form "B" Field'!J86)</f>
        <v/>
      </c>
      <c r="J86" s="716"/>
      <c r="K86" s="1228"/>
    </row>
    <row r="87" spans="2:13" ht="13.2" customHeight="1" x14ac:dyDescent="0.25">
      <c r="B87" s="878"/>
      <c r="C87" s="621" t="s">
        <v>981</v>
      </c>
      <c r="D87" s="621"/>
      <c r="E87" s="621"/>
      <c r="F87" s="621"/>
      <c r="G87" s="44"/>
      <c r="H87" s="1222"/>
      <c r="I87" s="855" t="str">
        <f>IF('Form "B" Field'!J87="","",'Form "B" Field'!J87)</f>
        <v/>
      </c>
      <c r="J87" s="716"/>
      <c r="K87" s="1226" t="str">
        <f>IF(J87="","",((J86*2)*J85)*J87)</f>
        <v/>
      </c>
      <c r="M87" s="811" t="str">
        <f>IF(I86="","",(((I86*2)*('Form "B" Field'!$J$85))*I87))</f>
        <v/>
      </c>
    </row>
    <row r="88" spans="2:13" ht="13.2" customHeight="1" x14ac:dyDescent="0.25">
      <c r="B88" s="878" t="s">
        <v>2</v>
      </c>
      <c r="C88" s="621"/>
      <c r="D88" s="621"/>
      <c r="E88" s="621"/>
      <c r="F88" s="621"/>
      <c r="G88" s="44"/>
      <c r="H88" s="1235">
        <f>J85</f>
        <v>0</v>
      </c>
      <c r="I88" s="855" t="str">
        <f>IF('Form "B" Field'!J88="","",'Form "B" Field'!J88)</f>
        <v/>
      </c>
      <c r="J88" s="716"/>
      <c r="K88" s="1226" t="str">
        <f>IF(J88="","",(J88*J85))</f>
        <v/>
      </c>
      <c r="M88" s="811" t="str">
        <f>IF(I88="","",((I88*('Form "B" Field'!$J$85))*I88))</f>
        <v/>
      </c>
    </row>
    <row r="89" spans="2:13" ht="13.2" customHeight="1" x14ac:dyDescent="0.25">
      <c r="B89" s="1114" t="s">
        <v>14</v>
      </c>
      <c r="C89" s="1115"/>
      <c r="D89" s="1115"/>
      <c r="E89" s="1115"/>
      <c r="F89" s="1115"/>
      <c r="G89" s="1115"/>
      <c r="H89" s="1236"/>
      <c r="I89" s="1115"/>
      <c r="J89" s="1115"/>
      <c r="K89" s="1245"/>
    </row>
    <row r="90" spans="2:13" ht="13.2" customHeight="1" x14ac:dyDescent="0.25">
      <c r="B90" s="878" t="s">
        <v>1149</v>
      </c>
      <c r="C90" s="621"/>
      <c r="D90" s="621"/>
      <c r="E90" s="621"/>
      <c r="F90" s="621"/>
      <c r="G90" s="1222">
        <f>'Maximum Rates'!D10</f>
        <v>74</v>
      </c>
      <c r="H90" s="1237" t="s">
        <v>41</v>
      </c>
      <c r="I90" s="829" t="str">
        <f>IF('Form "B" Field'!J90="","",'Form "B" Field'!J90)</f>
        <v/>
      </c>
      <c r="J90" s="716"/>
      <c r="K90" s="1226" t="str">
        <f>IF(J90="","",'Maximum Rates'!D9*J90)</f>
        <v/>
      </c>
      <c r="L90" s="811">
        <f>'Field Breakout'!P76</f>
        <v>0</v>
      </c>
      <c r="M90" s="811" t="str">
        <f>IF(I90="","",(I90*G90))</f>
        <v/>
      </c>
    </row>
    <row r="91" spans="2:13" ht="13.2" customHeight="1" x14ac:dyDescent="0.25">
      <c r="B91" s="878" t="s">
        <v>892</v>
      </c>
      <c r="C91" s="621"/>
      <c r="D91" s="621"/>
      <c r="E91" s="621"/>
      <c r="F91" s="621"/>
      <c r="G91" s="1222">
        <f>'Maximum Rates'!D7</f>
        <v>102</v>
      </c>
      <c r="H91" s="1237" t="s">
        <v>41</v>
      </c>
      <c r="I91" s="855" t="str">
        <f>IF('Form "B" Field'!J91="","",'Form "B" Field'!J91)</f>
        <v/>
      </c>
      <c r="J91" s="716"/>
      <c r="K91" s="1226" t="str">
        <f>IF(J91="","",'Maximum Rates'!D7*J91)</f>
        <v/>
      </c>
      <c r="L91" s="811">
        <f>'Field Breakout'!O76</f>
        <v>0</v>
      </c>
      <c r="M91" s="811" t="str">
        <f>IF(I91="","",(I91*G91))</f>
        <v/>
      </c>
    </row>
    <row r="92" spans="2:13" ht="13.2" customHeight="1" x14ac:dyDescent="0.25">
      <c r="B92" s="878" t="s">
        <v>890</v>
      </c>
      <c r="C92" s="621"/>
      <c r="D92" s="621"/>
      <c r="E92" s="621"/>
      <c r="F92" s="621"/>
      <c r="G92" s="1222">
        <f>'Maximum Rates'!D6</f>
        <v>140</v>
      </c>
      <c r="H92" s="1237" t="s">
        <v>41</v>
      </c>
      <c r="I92" s="855" t="str">
        <f>IF('Form "B" Field'!J92="","",'Form "B" Field'!J92)</f>
        <v/>
      </c>
      <c r="J92" s="716"/>
      <c r="K92" s="1226" t="str">
        <f>IF(J92="","",'Maximum Rates'!D6*J92)</f>
        <v/>
      </c>
      <c r="L92" s="811">
        <f>'Field Breakout'!N76</f>
        <v>0</v>
      </c>
      <c r="M92" s="811" t="str">
        <f>IF(I92="","",(I92*G92))</f>
        <v/>
      </c>
    </row>
    <row r="93" spans="2:13" ht="13.2" customHeight="1" x14ac:dyDescent="0.25">
      <c r="B93" s="878" t="s">
        <v>891</v>
      </c>
      <c r="C93" s="621"/>
      <c r="D93" s="1116"/>
      <c r="E93" s="1117"/>
      <c r="F93" s="1118">
        <f>((((J86*2)+J88)/50)*J90)+((((J86*2)+J88)/50*J91)+((((J86*2)+J88)/50)*J92)+((((J86*2)+J88)/50)*J93))</f>
        <v>0</v>
      </c>
      <c r="G93" s="1222">
        <f>'Maximum Rates'!D5</f>
        <v>122</v>
      </c>
      <c r="H93" s="1237" t="s">
        <v>41</v>
      </c>
      <c r="I93" s="855" t="str">
        <f>IF('Form "B" Field'!J93="","",'Form "B" Field'!J93)</f>
        <v/>
      </c>
      <c r="J93" s="716"/>
      <c r="K93" s="1226" t="str">
        <f>IF(J93="","",'Maximum Rates'!D5*J93)</f>
        <v/>
      </c>
      <c r="L93" s="811">
        <f>'Field Breakout'!M76</f>
        <v>0</v>
      </c>
      <c r="M93" s="811" t="str">
        <f>IF(I93="","",(I93*G93))</f>
        <v/>
      </c>
    </row>
    <row r="94" spans="2:13" ht="13.2" customHeight="1" x14ac:dyDescent="0.25">
      <c r="B94" s="1114" t="s">
        <v>861</v>
      </c>
      <c r="C94" s="1115"/>
      <c r="D94" s="1115"/>
      <c r="E94" s="1115"/>
      <c r="F94" s="1115"/>
      <c r="G94" s="1236"/>
      <c r="H94" s="1236"/>
      <c r="I94" s="1115"/>
      <c r="J94" s="1115"/>
      <c r="K94" s="1245"/>
    </row>
    <row r="95" spans="2:13" ht="13.2" customHeight="1" x14ac:dyDescent="0.25">
      <c r="B95" s="878" t="s">
        <v>1428</v>
      </c>
      <c r="C95" s="621"/>
      <c r="D95" s="621"/>
      <c r="E95" s="621"/>
      <c r="F95" s="621"/>
      <c r="G95" s="1222">
        <f>'Maximum Rates'!D13</f>
        <v>19</v>
      </c>
      <c r="H95" s="1237" t="s">
        <v>395</v>
      </c>
      <c r="I95" s="1119" t="str">
        <f>IF('Form "B" Field'!J95&gt;0,'Form "B" Field'!J95,"")</f>
        <v/>
      </c>
      <c r="J95" s="1170" t="str">
        <f>IF(('PR Form "E" Per Diem'!K21+'PR Form "E" Per Diem'!K74+'PR Form "E" Per Diem'!K127)=0,"",'PR Form "E" Per Diem'!K21+'PR Form "E" Per Diem'!K74+'PR Form "E" Per Diem'!K127)</f>
        <v/>
      </c>
      <c r="K95" s="1226" t="str">
        <f>IF(J95="","",IF((J86+J88)&lt;50,0,(IF(J95&gt;=1,J95*G95,0))))</f>
        <v/>
      </c>
      <c r="M95" s="811" t="str">
        <f>IF(I95="","",(I95*G95))</f>
        <v/>
      </c>
    </row>
    <row r="96" spans="2:13" ht="13.2" customHeight="1" x14ac:dyDescent="0.25">
      <c r="B96" s="878" t="s">
        <v>1429</v>
      </c>
      <c r="C96" s="621"/>
      <c r="D96" s="621"/>
      <c r="E96" s="621"/>
      <c r="F96" s="621"/>
      <c r="G96" s="1222">
        <f>'Maximum Rates'!D14</f>
        <v>47</v>
      </c>
      <c r="H96" s="1237" t="s">
        <v>886</v>
      </c>
      <c r="I96" s="1120" t="str">
        <f>IF('Form "B" Field'!J96&gt;0,'Form "B" Field'!J96,"")</f>
        <v/>
      </c>
      <c r="J96" s="1170" t="str">
        <f>IF(('PR Form "E" Per Diem'!K30+'PR Form "E" Per Diem'!K83+'PR Form "E" Per Diem'!K136)=0,"",'PR Form "E" Per Diem'!K30+'PR Form "E" Per Diem'!K83+'PR Form "E" Per Diem'!K136)</f>
        <v/>
      </c>
      <c r="K96" s="1226" t="str">
        <f>IF(J96="","",IF((J86+J88)&lt;50,0,(IF(J96&gt;=1,J96*G96,0))))</f>
        <v/>
      </c>
      <c r="M96" s="811" t="str">
        <f>IF(I96="","",(I96*G96))</f>
        <v/>
      </c>
    </row>
    <row r="97" spans="2:13" ht="13.2" customHeight="1" x14ac:dyDescent="0.25">
      <c r="B97" s="878" t="s">
        <v>1431</v>
      </c>
      <c r="C97" s="621"/>
      <c r="D97" s="621"/>
      <c r="E97" s="621"/>
      <c r="F97" s="621"/>
      <c r="G97" s="1222">
        <f>'Maximum Rates'!D15</f>
        <v>68</v>
      </c>
      <c r="H97" s="1237" t="s">
        <v>395</v>
      </c>
      <c r="I97" s="1119" t="str">
        <f>IF('Form "B" Field'!J97&gt;0,'Form "B" Field'!J97,"")</f>
        <v/>
      </c>
      <c r="J97" s="1170" t="str">
        <f>IF('PR Form "E" Per Diem'!O3=0,"",'PR Form "E" Per Diem'!O3)</f>
        <v/>
      </c>
      <c r="K97" s="1226" t="str">
        <f>IF(J97="","",IF((J86+J88)&lt;50,0,(IF(J97&gt;=1,J97*G97,0))))</f>
        <v/>
      </c>
      <c r="M97" s="811" t="str">
        <f>IF(I97="","",(I97*G97))</f>
        <v/>
      </c>
    </row>
    <row r="98" spans="2:13" ht="13.2" customHeight="1" thickBot="1" x14ac:dyDescent="0.3">
      <c r="B98" s="878" t="s">
        <v>1430</v>
      </c>
      <c r="C98" s="44"/>
      <c r="D98" s="1121"/>
      <c r="E98" s="1122"/>
      <c r="F98" s="1122"/>
      <c r="G98" s="1223">
        <f>IF(J98="",'Maximum Rates'!D16,'PR Form "E" Per Diem'!R3)</f>
        <v>150</v>
      </c>
      <c r="H98" s="1237" t="s">
        <v>1422</v>
      </c>
      <c r="I98" s="1560" t="str">
        <f>IF('Form "B" Field'!J98&gt;0,'Form "B" Field'!J98,"")</f>
        <v/>
      </c>
      <c r="J98" s="1170" t="str">
        <f>IF('PR Form "E" Per Diem'!N3=0,"",'PR Form "E" Per Diem'!N3)</f>
        <v/>
      </c>
      <c r="K98" s="1226" t="str">
        <f>IF(J98="","",IF((J86+J88)&lt;50,0,(IF(J98&gt;=1,J98*G98,0))))</f>
        <v/>
      </c>
      <c r="M98" s="811" t="str">
        <f>IF(G98="","",IF(I98="","",(I98*G98)))</f>
        <v/>
      </c>
    </row>
    <row r="99" spans="2:13" ht="13.8" thickBot="1" x14ac:dyDescent="0.3">
      <c r="B99" s="1183" t="s">
        <v>96</v>
      </c>
      <c r="C99" s="1184"/>
      <c r="D99" s="1184"/>
      <c r="E99" s="1184"/>
      <c r="F99" s="1184"/>
      <c r="G99" s="1271"/>
      <c r="H99" s="1271"/>
      <c r="I99" s="1184"/>
      <c r="J99" s="1184"/>
      <c r="K99" s="1272"/>
    </row>
    <row r="100" spans="2:13" ht="13.2" customHeight="1" x14ac:dyDescent="0.25">
      <c r="B100" s="920" t="s">
        <v>227</v>
      </c>
      <c r="C100" s="44"/>
      <c r="D100" s="44"/>
      <c r="E100" s="44"/>
      <c r="F100" s="44"/>
      <c r="G100" s="1222">
        <f>'Maximum Rates'!C19</f>
        <v>75</v>
      </c>
      <c r="H100" s="1238" t="s">
        <v>171</v>
      </c>
      <c r="I100" s="829" t="str">
        <f>IF('Form "B" Field'!J101&lt;1,"",'Form "B" Field'!J101)</f>
        <v/>
      </c>
      <c r="J100" s="716"/>
      <c r="K100" s="1243" t="str">
        <f t="shared" ref="K100:K117" si="6">IF(J100&lt;1,"",(J100*G100))</f>
        <v/>
      </c>
      <c r="M100" s="811" t="str">
        <f>IF(I100="","",(I100*G100))</f>
        <v/>
      </c>
    </row>
    <row r="101" spans="2:13" ht="13.2" customHeight="1" x14ac:dyDescent="0.25">
      <c r="B101" s="920" t="s">
        <v>1091</v>
      </c>
      <c r="C101" s="44"/>
      <c r="D101" s="44"/>
      <c r="E101" s="44"/>
      <c r="F101" s="44"/>
      <c r="G101" s="1222">
        <f>'Maximum Rates'!C20</f>
        <v>55</v>
      </c>
      <c r="H101" s="1239" t="s">
        <v>612</v>
      </c>
      <c r="I101" s="829" t="str">
        <f>IF('Form "B" Field'!J102&lt;1,"",'Form "B" Field'!J102)</f>
        <v/>
      </c>
      <c r="J101" s="716"/>
      <c r="K101" s="1226" t="str">
        <f t="shared" si="6"/>
        <v/>
      </c>
      <c r="M101" s="811" t="str">
        <f t="shared" ref="M101:M121" si="7">IF(I101="","",(I101*G101))</f>
        <v/>
      </c>
    </row>
    <row r="102" spans="2:13" ht="13.2" customHeight="1" x14ac:dyDescent="0.25">
      <c r="B102" s="920" t="s">
        <v>994</v>
      </c>
      <c r="C102" s="44"/>
      <c r="D102" s="44"/>
      <c r="E102" s="44"/>
      <c r="F102" s="44"/>
      <c r="G102" s="1222">
        <f>'Maximum Rates'!C36</f>
        <v>28</v>
      </c>
      <c r="H102" s="1239" t="s">
        <v>395</v>
      </c>
      <c r="I102" s="829" t="str">
        <f>IF('Form "B" Field'!J103&lt;1,"",'Form "B" Field'!J103)</f>
        <v/>
      </c>
      <c r="J102" s="716"/>
      <c r="K102" s="1226" t="str">
        <f t="shared" si="6"/>
        <v/>
      </c>
      <c r="M102" s="811" t="str">
        <f t="shared" si="7"/>
        <v/>
      </c>
    </row>
    <row r="103" spans="2:13" ht="13.2" customHeight="1" x14ac:dyDescent="0.25">
      <c r="B103" s="51" t="s">
        <v>1121</v>
      </c>
      <c r="C103" s="44"/>
      <c r="D103" s="44"/>
      <c r="E103" s="44"/>
      <c r="F103" s="44"/>
      <c r="G103" s="1222">
        <f>Equipment!J151</f>
        <v>83</v>
      </c>
      <c r="H103" s="1239" t="s">
        <v>395</v>
      </c>
      <c r="I103" s="829" t="str">
        <f>IF('Form "B" Field'!J104&lt;1,"",'Form "B" Field'!J104)</f>
        <v/>
      </c>
      <c r="J103" s="716"/>
      <c r="K103" s="1226" t="str">
        <f t="shared" si="6"/>
        <v/>
      </c>
      <c r="M103" s="811" t="str">
        <f t="shared" si="7"/>
        <v/>
      </c>
    </row>
    <row r="104" spans="2:13" ht="13.2" customHeight="1" x14ac:dyDescent="0.25">
      <c r="B104" s="51" t="s">
        <v>1093</v>
      </c>
      <c r="C104" s="44"/>
      <c r="D104" s="44"/>
      <c r="E104" s="44"/>
      <c r="F104" s="44"/>
      <c r="G104" s="1222">
        <f>Equipment!H28</f>
        <v>66</v>
      </c>
      <c r="H104" s="1239" t="s">
        <v>395</v>
      </c>
      <c r="I104" s="829" t="str">
        <f>IF('Form "B" Field'!J105&lt;1,"",'Form "B" Field'!J105)</f>
        <v/>
      </c>
      <c r="J104" s="716"/>
      <c r="K104" s="1226" t="str">
        <f t="shared" si="6"/>
        <v/>
      </c>
      <c r="M104" s="811" t="str">
        <f t="shared" si="7"/>
        <v/>
      </c>
    </row>
    <row r="105" spans="2:13" ht="13.2" customHeight="1" x14ac:dyDescent="0.25">
      <c r="B105" s="51" t="s">
        <v>1092</v>
      </c>
      <c r="C105" s="44"/>
      <c r="D105" s="44"/>
      <c r="E105" s="44"/>
      <c r="F105" s="44"/>
      <c r="G105" s="1222">
        <f>Equipment!H28</f>
        <v>66</v>
      </c>
      <c r="H105" s="1239" t="s">
        <v>395</v>
      </c>
      <c r="I105" s="829" t="str">
        <f>IF('Form "B" Field'!J106&lt;1,"",'Form "B" Field'!J106)</f>
        <v/>
      </c>
      <c r="J105" s="716"/>
      <c r="K105" s="1226" t="str">
        <f t="shared" si="6"/>
        <v/>
      </c>
      <c r="M105" s="811" t="str">
        <f t="shared" si="7"/>
        <v/>
      </c>
    </row>
    <row r="106" spans="2:13" ht="13.2" customHeight="1" x14ac:dyDescent="0.25">
      <c r="B106" s="920" t="s">
        <v>1413</v>
      </c>
      <c r="C106" s="716" t="s">
        <v>1411</v>
      </c>
      <c r="D106" s="1693" t="s">
        <v>1411</v>
      </c>
      <c r="E106" s="44"/>
      <c r="F106" s="44"/>
      <c r="G106" s="1223">
        <f>IF(C106="Encore",'Maximum Rates'!C42,IF(C106="Terracore",'Maximum Rates'!C47))</f>
        <v>12</v>
      </c>
      <c r="H106" s="1239" t="s">
        <v>702</v>
      </c>
      <c r="I106" s="829" t="str">
        <f>IF('Form "B" Field'!J107&lt;1,"",'Form "B" Field'!J107)</f>
        <v/>
      </c>
      <c r="J106" s="716"/>
      <c r="K106" s="1226" t="str">
        <f t="shared" si="6"/>
        <v/>
      </c>
      <c r="M106" s="811" t="str">
        <f t="shared" si="7"/>
        <v/>
      </c>
    </row>
    <row r="107" spans="2:13" ht="13.2" customHeight="1" x14ac:dyDescent="0.25">
      <c r="B107" s="920" t="s">
        <v>539</v>
      </c>
      <c r="C107" s="44"/>
      <c r="D107" s="1693" t="s">
        <v>1412</v>
      </c>
      <c r="E107" s="44"/>
      <c r="F107" s="44"/>
      <c r="G107" s="1222">
        <f>Equipment!H77</f>
        <v>176</v>
      </c>
      <c r="H107" s="1239" t="s">
        <v>395</v>
      </c>
      <c r="I107" s="829" t="str">
        <f>IF('Form "B" Field'!J108&lt;1,"",'Form "B" Field'!J108)</f>
        <v/>
      </c>
      <c r="J107" s="716"/>
      <c r="K107" s="1226" t="str">
        <f t="shared" si="6"/>
        <v/>
      </c>
      <c r="M107" s="811" t="str">
        <f t="shared" si="7"/>
        <v/>
      </c>
    </row>
    <row r="108" spans="2:13" ht="13.2" customHeight="1" x14ac:dyDescent="0.25">
      <c r="B108" s="920" t="s">
        <v>99</v>
      </c>
      <c r="C108" s="44"/>
      <c r="D108" s="44"/>
      <c r="E108" s="44"/>
      <c r="F108" s="1113">
        <f>SUM(K100:K117)</f>
        <v>0</v>
      </c>
      <c r="G108" s="1222">
        <f>'Maximum Rates'!C18</f>
        <v>8</v>
      </c>
      <c r="H108" s="1239" t="s">
        <v>100</v>
      </c>
      <c r="I108" s="829" t="str">
        <f>IF('Form "B" Field'!J109&lt;1,"",'Form "B" Field'!J109)</f>
        <v/>
      </c>
      <c r="J108" s="716"/>
      <c r="K108" s="1226" t="str">
        <f t="shared" si="6"/>
        <v/>
      </c>
      <c r="M108" s="811" t="str">
        <f t="shared" si="7"/>
        <v/>
      </c>
    </row>
    <row r="109" spans="2:13" ht="13.2" customHeight="1" x14ac:dyDescent="0.25">
      <c r="B109" s="920" t="s">
        <v>541</v>
      </c>
      <c r="C109" s="44"/>
      <c r="D109" s="44"/>
      <c r="E109" s="44"/>
      <c r="F109" s="44"/>
      <c r="G109" s="1222">
        <f>Equipment!H102</f>
        <v>77</v>
      </c>
      <c r="H109" s="1239" t="s">
        <v>991</v>
      </c>
      <c r="I109" s="829" t="str">
        <f>IF('Form "B" Field'!J110&lt;1,"",'Form "B" Field'!J110)</f>
        <v/>
      </c>
      <c r="J109" s="716"/>
      <c r="K109" s="1226" t="str">
        <f t="shared" si="6"/>
        <v/>
      </c>
      <c r="M109" s="811" t="str">
        <f t="shared" si="7"/>
        <v/>
      </c>
    </row>
    <row r="110" spans="2:13" ht="13.2" customHeight="1" x14ac:dyDescent="0.25">
      <c r="B110" s="920" t="s">
        <v>543</v>
      </c>
      <c r="C110" s="44"/>
      <c r="D110" s="44"/>
      <c r="E110" s="44"/>
      <c r="F110" s="44"/>
      <c r="G110" s="1222">
        <f>Equipment!J126</f>
        <v>66</v>
      </c>
      <c r="H110" s="1239" t="s">
        <v>612</v>
      </c>
      <c r="I110" s="829" t="str">
        <f>IF('Form "B" Field'!J111&lt;1,"",'Form "B" Field'!J111)</f>
        <v/>
      </c>
      <c r="J110" s="716"/>
      <c r="K110" s="1226" t="str">
        <f t="shared" si="6"/>
        <v/>
      </c>
      <c r="M110" s="811" t="str">
        <f t="shared" si="7"/>
        <v/>
      </c>
    </row>
    <row r="111" spans="2:13" ht="13.2" customHeight="1" x14ac:dyDescent="0.25">
      <c r="B111" s="920" t="s">
        <v>542</v>
      </c>
      <c r="C111" s="44"/>
      <c r="D111" s="44"/>
      <c r="E111" s="44"/>
      <c r="F111" s="44"/>
      <c r="G111" s="1222">
        <f>Equipment!J102</f>
        <v>160</v>
      </c>
      <c r="H111" s="1239" t="s">
        <v>395</v>
      </c>
      <c r="I111" s="829" t="str">
        <f>IF('Form "B" Field'!J112&lt;1,"",'Form "B" Field'!J112)</f>
        <v/>
      </c>
      <c r="J111" s="716"/>
      <c r="K111" s="1226" t="str">
        <f t="shared" si="6"/>
        <v/>
      </c>
      <c r="M111" s="811" t="str">
        <f t="shared" si="7"/>
        <v/>
      </c>
    </row>
    <row r="112" spans="2:13" ht="13.2" customHeight="1" x14ac:dyDescent="0.25">
      <c r="B112" s="920" t="s">
        <v>696</v>
      </c>
      <c r="C112" s="44"/>
      <c r="D112" s="44"/>
      <c r="E112" s="44"/>
      <c r="F112" s="44"/>
      <c r="G112" s="1222">
        <f>Equipment!H126</f>
        <v>83</v>
      </c>
      <c r="H112" s="1239" t="s">
        <v>395</v>
      </c>
      <c r="I112" s="829" t="str">
        <f>IF('Form "B" Field'!J113&lt;1,"",'Form "B" Field'!J113)</f>
        <v/>
      </c>
      <c r="J112" s="716"/>
      <c r="K112" s="1226" t="str">
        <f t="shared" si="6"/>
        <v/>
      </c>
      <c r="M112" s="811" t="str">
        <f t="shared" si="7"/>
        <v/>
      </c>
    </row>
    <row r="113" spans="2:13" ht="13.2" customHeight="1" x14ac:dyDescent="0.25">
      <c r="B113" s="920" t="s">
        <v>540</v>
      </c>
      <c r="C113" s="44"/>
      <c r="D113" s="44"/>
      <c r="E113" s="44"/>
      <c r="F113" s="44"/>
      <c r="G113" s="1222">
        <f>Equipment!J77</f>
        <v>77</v>
      </c>
      <c r="H113" s="1239" t="s">
        <v>612</v>
      </c>
      <c r="I113" s="829" t="str">
        <f>IF('Form "B" Field'!J114&lt;1,"",'Form "B" Field'!J114)</f>
        <v/>
      </c>
      <c r="J113" s="716"/>
      <c r="K113" s="1226" t="str">
        <f t="shared" si="6"/>
        <v/>
      </c>
      <c r="M113" s="811" t="str">
        <f t="shared" si="7"/>
        <v/>
      </c>
    </row>
    <row r="114" spans="2:13" ht="13.2" customHeight="1" x14ac:dyDescent="0.25">
      <c r="B114" s="920" t="s">
        <v>538</v>
      </c>
      <c r="C114" s="44"/>
      <c r="D114" s="44"/>
      <c r="E114" s="44"/>
      <c r="F114" s="44"/>
      <c r="G114" s="1222">
        <f>Equipment!J53</f>
        <v>182</v>
      </c>
      <c r="H114" s="1239" t="s">
        <v>612</v>
      </c>
      <c r="I114" s="829" t="str">
        <f>IF('Form "B" Field'!J115&lt;1,"",'Form "B" Field'!J115)</f>
        <v/>
      </c>
      <c r="J114" s="716"/>
      <c r="K114" s="1226" t="str">
        <f t="shared" si="6"/>
        <v/>
      </c>
      <c r="M114" s="811" t="str">
        <f t="shared" si="7"/>
        <v/>
      </c>
    </row>
    <row r="115" spans="2:13" ht="13.2" customHeight="1" x14ac:dyDescent="0.25">
      <c r="B115" s="920" t="s">
        <v>533</v>
      </c>
      <c r="C115" s="44"/>
      <c r="D115" s="44"/>
      <c r="E115" s="44"/>
      <c r="F115" s="44"/>
      <c r="G115" s="1222">
        <f>Equipment!H53</f>
        <v>72</v>
      </c>
      <c r="H115" s="1238" t="s">
        <v>612</v>
      </c>
      <c r="I115" s="854" t="str">
        <f>IF('Form "B" Field'!J116&lt;1,"",'Form "B" Field'!J116)</f>
        <v/>
      </c>
      <c r="J115" s="709"/>
      <c r="K115" s="1243" t="str">
        <f t="shared" si="6"/>
        <v/>
      </c>
      <c r="M115" s="811" t="str">
        <f t="shared" si="7"/>
        <v/>
      </c>
    </row>
    <row r="116" spans="2:13" ht="13.2" customHeight="1" x14ac:dyDescent="0.25">
      <c r="B116" s="920" t="s">
        <v>537</v>
      </c>
      <c r="C116" s="44"/>
      <c r="D116" s="44"/>
      <c r="E116" s="44"/>
      <c r="F116" s="44"/>
      <c r="G116" s="1222">
        <f>Equipment!J28</f>
        <v>121</v>
      </c>
      <c r="H116" s="1239" t="s">
        <v>612</v>
      </c>
      <c r="I116" s="829" t="str">
        <f>IF('Form "B" Field'!J117&lt;1,"",'Form "B" Field'!J117)</f>
        <v/>
      </c>
      <c r="J116" s="716"/>
      <c r="K116" s="1226" t="str">
        <f t="shared" si="6"/>
        <v/>
      </c>
      <c r="M116" s="811" t="str">
        <f t="shared" si="7"/>
        <v/>
      </c>
    </row>
    <row r="117" spans="2:13" ht="13.2" customHeight="1" thickBot="1" x14ac:dyDescent="0.3">
      <c r="B117" s="924" t="s">
        <v>699</v>
      </c>
      <c r="C117" s="663"/>
      <c r="D117" s="663"/>
      <c r="E117" s="663"/>
      <c r="F117" s="663"/>
      <c r="G117" s="1232">
        <f>Equipment!H151</f>
        <v>55</v>
      </c>
      <c r="H117" s="1240" t="s">
        <v>395</v>
      </c>
      <c r="I117" s="1107" t="str">
        <f>IF('Form "B" Field'!J118&lt;1,"",'Form "B" Field'!J118)</f>
        <v/>
      </c>
      <c r="J117" s="789"/>
      <c r="K117" s="1242" t="str">
        <f t="shared" si="6"/>
        <v/>
      </c>
      <c r="M117" s="811" t="str">
        <f t="shared" si="7"/>
        <v/>
      </c>
    </row>
    <row r="118" spans="2:13" ht="13.2" customHeight="1" x14ac:dyDescent="0.25">
      <c r="B118" s="51"/>
      <c r="C118" s="44"/>
      <c r="D118" s="44"/>
      <c r="E118" s="44"/>
      <c r="F118" s="44"/>
      <c r="G118" s="1224"/>
      <c r="H118" s="1222"/>
      <c r="I118" s="1356"/>
      <c r="J118" s="1356"/>
      <c r="K118" s="1226"/>
    </row>
    <row r="119" spans="2:13" ht="13.2" customHeight="1" x14ac:dyDescent="0.25">
      <c r="B119" s="51" t="s">
        <v>610</v>
      </c>
      <c r="C119" s="44"/>
      <c r="D119" s="44"/>
      <c r="E119" s="44"/>
      <c r="F119" s="44"/>
      <c r="G119" s="1222">
        <f>'Maximum Rates'!D53</f>
        <v>85</v>
      </c>
      <c r="H119" s="1237" t="s">
        <v>612</v>
      </c>
      <c r="I119" s="829" t="str">
        <f>IF('Form "B" Field'!J120&lt;1,"",'Form "B" Field'!J120)</f>
        <v/>
      </c>
      <c r="J119" s="716"/>
      <c r="K119" s="1226" t="str">
        <f>IF(J119&lt;1,"",(J119*G119))</f>
        <v/>
      </c>
      <c r="M119" s="811" t="str">
        <f t="shared" si="7"/>
        <v/>
      </c>
    </row>
    <row r="120" spans="2:13" ht="13.2" customHeight="1" x14ac:dyDescent="0.25">
      <c r="B120" s="51" t="s">
        <v>846</v>
      </c>
      <c r="C120" s="44"/>
      <c r="D120" s="44"/>
      <c r="E120" s="44"/>
      <c r="F120" s="44"/>
      <c r="G120" s="1222">
        <f>'Maximum Rates'!D54</f>
        <v>50</v>
      </c>
      <c r="H120" s="1237"/>
      <c r="I120" s="855" t="str">
        <f>IF('Form "B" Field'!J121&lt;1,"",'Form "B" Field'!J121)</f>
        <v/>
      </c>
      <c r="J120" s="716"/>
      <c r="K120" s="1226" t="str">
        <f>IF(J120&lt;1,"",(J120*G120))</f>
        <v/>
      </c>
      <c r="M120" s="811" t="str">
        <f t="shared" si="7"/>
        <v/>
      </c>
    </row>
    <row r="121" spans="2:13" ht="13.2" customHeight="1" thickBot="1" x14ac:dyDescent="0.3">
      <c r="B121" s="52" t="s">
        <v>847</v>
      </c>
      <c r="C121" s="663"/>
      <c r="D121" s="663"/>
      <c r="E121" s="663"/>
      <c r="F121" s="1123">
        <f>SUM(K119:K121)</f>
        <v>0</v>
      </c>
      <c r="G121" s="1241"/>
      <c r="H121" s="1178"/>
      <c r="I121" s="1124" t="str">
        <f>IF('Form "B" Field'!J122&lt;1,"",'Form "B" Field'!J122)</f>
        <v/>
      </c>
      <c r="J121" s="789"/>
      <c r="K121" s="1242" t="str">
        <f>IF(J121&lt;1,"",(J121*H121))</f>
        <v/>
      </c>
      <c r="M121" s="811" t="str">
        <f t="shared" si="7"/>
        <v/>
      </c>
    </row>
    <row r="122" spans="2:13" ht="13.2" customHeight="1" thickBot="1" x14ac:dyDescent="0.3">
      <c r="B122" s="1185" t="s">
        <v>417</v>
      </c>
      <c r="C122" s="1186"/>
      <c r="D122" s="1186"/>
      <c r="E122" s="1186"/>
      <c r="F122" s="1186"/>
      <c r="G122" s="1186"/>
      <c r="H122" s="1186"/>
      <c r="I122" s="1186"/>
      <c r="J122" s="1186"/>
      <c r="K122" s="1265"/>
    </row>
    <row r="123" spans="2:13" ht="38.4" customHeight="1" x14ac:dyDescent="0.25">
      <c r="B123" s="1125"/>
      <c r="C123" s="1075"/>
      <c r="D123" s="2222" t="s">
        <v>229</v>
      </c>
      <c r="E123" s="1075"/>
      <c r="F123" s="2216" t="s">
        <v>1043</v>
      </c>
      <c r="G123" s="2216" t="s">
        <v>969</v>
      </c>
      <c r="H123" s="2219" t="s">
        <v>1295</v>
      </c>
      <c r="I123" s="2216" t="s">
        <v>1296</v>
      </c>
      <c r="J123" s="2216" t="s">
        <v>959</v>
      </c>
      <c r="K123" s="1246"/>
    </row>
    <row r="124" spans="2:13" ht="9" customHeight="1" x14ac:dyDescent="0.25">
      <c r="B124" s="1126"/>
      <c r="C124" s="555"/>
      <c r="D124" s="2223"/>
      <c r="E124" s="555"/>
      <c r="F124" s="2217"/>
      <c r="G124" s="2217"/>
      <c r="H124" s="2220"/>
      <c r="I124" s="2217"/>
      <c r="J124" s="2217"/>
      <c r="K124" s="1247"/>
      <c r="M124" s="811" t="str">
        <f>IF(I124="","",(I124*H124))</f>
        <v/>
      </c>
    </row>
    <row r="125" spans="2:13" ht="10.199999999999999" customHeight="1" x14ac:dyDescent="0.25">
      <c r="B125" s="51"/>
      <c r="C125" s="44"/>
      <c r="D125" s="2224"/>
      <c r="E125" s="827"/>
      <c r="F125" s="2218"/>
      <c r="G125" s="2218"/>
      <c r="H125" s="2221"/>
      <c r="I125" s="2218"/>
      <c r="J125" s="2218"/>
      <c r="K125" s="1226"/>
      <c r="M125" s="811" t="str">
        <f>IF(I125="","",(I125*H125))</f>
        <v/>
      </c>
    </row>
    <row r="126" spans="2:13" ht="13.2" customHeight="1" x14ac:dyDescent="0.25">
      <c r="B126" s="2212" t="s">
        <v>230</v>
      </c>
      <c r="C126" s="2214"/>
      <c r="D126" s="716">
        <v>8260</v>
      </c>
      <c r="E126" s="44"/>
      <c r="F126" s="1171" t="str">
        <f>IF(G126="","",('Form "B" Field'!F127))</f>
        <v/>
      </c>
      <c r="G126" s="1172" t="str">
        <f>IF('Form "B" Field'!J127&lt;&gt;"",'Form "B" Field'!J127,"")</f>
        <v/>
      </c>
      <c r="H126" s="1173"/>
      <c r="I126" s="1174"/>
      <c r="J126" s="1175"/>
      <c r="K126" s="1226" t="str">
        <f>IF(I126="","",IF(J126="",(I126*H126),((I126*(1+J126))*H126)))</f>
        <v/>
      </c>
      <c r="M126" s="811" t="str">
        <f>IF(G126="","",((G126*F126)*(1+'Form "B" Field'!I127)))</f>
        <v/>
      </c>
    </row>
    <row r="127" spans="2:13" ht="13.2" customHeight="1" x14ac:dyDescent="0.25">
      <c r="B127" s="2212" t="s">
        <v>231</v>
      </c>
      <c r="C127" s="2214"/>
      <c r="D127" s="716">
        <v>8260</v>
      </c>
      <c r="E127" s="44"/>
      <c r="F127" s="1171" t="str">
        <f>IF(G127="","",('Form "B" Field'!F128))</f>
        <v/>
      </c>
      <c r="G127" s="1172" t="str">
        <f>IF('Form "B" Field'!J128&lt;&gt;"",'Form "B" Field'!J128,"")</f>
        <v/>
      </c>
      <c r="H127" s="1173"/>
      <c r="I127" s="1174"/>
      <c r="J127" s="1175"/>
      <c r="K127" s="1226" t="str">
        <f t="shared" ref="K127:K155" si="8">IF(I127="","",IF(J127="",(I127*H127),((I127*(1+J127))*H127)))</f>
        <v/>
      </c>
      <c r="M127" s="811" t="str">
        <f>IF(G127="","",((G127*F127)*(1+'Form "B" Field'!I128)))</f>
        <v/>
      </c>
    </row>
    <row r="128" spans="2:13" x14ac:dyDescent="0.25">
      <c r="B128" s="2212" t="s">
        <v>232</v>
      </c>
      <c r="C128" s="2214"/>
      <c r="D128" s="716">
        <v>8270</v>
      </c>
      <c r="E128" s="44"/>
      <c r="F128" s="1171" t="str">
        <f>IF(G128="","",('Form "B" Field'!F129))</f>
        <v/>
      </c>
      <c r="G128" s="1172" t="str">
        <f>IF('Form "B" Field'!J129&lt;&gt;"",'Form "B" Field'!J129,"")</f>
        <v/>
      </c>
      <c r="H128" s="1173"/>
      <c r="I128" s="1174"/>
      <c r="J128" s="1175"/>
      <c r="K128" s="1226" t="str">
        <f t="shared" si="8"/>
        <v/>
      </c>
      <c r="M128" s="811" t="str">
        <f>IF(G128="","",((G128*F128)*(1+'Form "B" Field'!I129)))</f>
        <v/>
      </c>
    </row>
    <row r="129" spans="2:13" x14ac:dyDescent="0.25">
      <c r="B129" s="2212" t="s">
        <v>233</v>
      </c>
      <c r="C129" s="2214"/>
      <c r="D129" s="716">
        <v>8270</v>
      </c>
      <c r="E129" s="44"/>
      <c r="F129" s="1171" t="str">
        <f>IF(G129="","",('Form "B" Field'!F130))</f>
        <v/>
      </c>
      <c r="G129" s="1172" t="str">
        <f>IF('Form "B" Field'!J130&lt;&gt;"",'Form "B" Field'!J130,"")</f>
        <v/>
      </c>
      <c r="H129" s="1173"/>
      <c r="I129" s="1174"/>
      <c r="J129" s="1175"/>
      <c r="K129" s="1226" t="str">
        <f t="shared" si="8"/>
        <v/>
      </c>
      <c r="M129" s="811" t="str">
        <f>IF(G129="","",((G129*F129)*(1+'Form "B" Field'!I130)))</f>
        <v/>
      </c>
    </row>
    <row r="130" spans="2:13" x14ac:dyDescent="0.25">
      <c r="B130" s="2212" t="s">
        <v>234</v>
      </c>
      <c r="C130" s="2213"/>
      <c r="D130" s="716">
        <v>6020</v>
      </c>
      <c r="E130" s="827"/>
      <c r="F130" s="1171" t="str">
        <f>IF(G130="","",('Form "B" Field'!F131))</f>
        <v/>
      </c>
      <c r="G130" s="1172" t="str">
        <f>IF('Form "B" Field'!J131&lt;&gt;"",'Form "B" Field'!J131,"")</f>
        <v/>
      </c>
      <c r="H130" s="1173"/>
      <c r="I130" s="1174"/>
      <c r="J130" s="1175"/>
      <c r="K130" s="1226" t="str">
        <f t="shared" si="8"/>
        <v/>
      </c>
      <c r="M130" s="811" t="str">
        <f>IF(G130="","",((G130*F130)*(1+'Form "B" Field'!I131)))</f>
        <v/>
      </c>
    </row>
    <row r="131" spans="2:13" x14ac:dyDescent="0.25">
      <c r="B131" s="2212" t="s">
        <v>235</v>
      </c>
      <c r="C131" s="2214"/>
      <c r="D131" s="716">
        <v>6020</v>
      </c>
      <c r="E131" s="827"/>
      <c r="F131" s="1171" t="str">
        <f>IF(G131="","",('Form "B" Field'!F132))</f>
        <v/>
      </c>
      <c r="G131" s="1172" t="str">
        <f>IF('Form "B" Field'!J132&lt;&gt;"",'Form "B" Field'!J132,"")</f>
        <v/>
      </c>
      <c r="H131" s="1173"/>
      <c r="I131" s="1174"/>
      <c r="J131" s="1175"/>
      <c r="K131" s="1226" t="str">
        <f t="shared" si="8"/>
        <v/>
      </c>
      <c r="M131" s="811" t="str">
        <f>IF(G131="","",((G131*F131)*(1+'Form "B" Field'!I132)))</f>
        <v/>
      </c>
    </row>
    <row r="132" spans="2:13" x14ac:dyDescent="0.25">
      <c r="B132" s="2212" t="s">
        <v>752</v>
      </c>
      <c r="C132" s="2214"/>
      <c r="D132" s="716" t="s">
        <v>961</v>
      </c>
      <c r="E132" s="827"/>
      <c r="F132" s="1171" t="str">
        <f>IF(G132="","",('Form "B" Field'!F133))</f>
        <v/>
      </c>
      <c r="G132" s="1172" t="str">
        <f>IF('Form "B" Field'!J133&lt;&gt;"",'Form "B" Field'!J133,"")</f>
        <v/>
      </c>
      <c r="H132" s="1173"/>
      <c r="I132" s="1174"/>
      <c r="J132" s="1175"/>
      <c r="K132" s="1226" t="str">
        <f t="shared" si="8"/>
        <v/>
      </c>
      <c r="M132" s="811" t="str">
        <f>IF(G132="","",((G132*F132)*(1+'Form "B" Field'!I133)))</f>
        <v/>
      </c>
    </row>
    <row r="133" spans="2:13" x14ac:dyDescent="0.25">
      <c r="B133" s="2212" t="s">
        <v>282</v>
      </c>
      <c r="C133" s="2214"/>
      <c r="D133" s="716">
        <v>525.1</v>
      </c>
      <c r="E133" s="44"/>
      <c r="F133" s="1171" t="str">
        <f>IF(G133="","",('Form "B" Field'!F134))</f>
        <v/>
      </c>
      <c r="G133" s="1172" t="str">
        <f>IF('Form "B" Field'!J134&lt;&gt;"",'Form "B" Field'!J134,"")</f>
        <v/>
      </c>
      <c r="H133" s="1173"/>
      <c r="I133" s="1174"/>
      <c r="J133" s="1175"/>
      <c r="K133" s="1226" t="str">
        <f t="shared" si="8"/>
        <v/>
      </c>
      <c r="M133" s="811" t="str">
        <f>IF(G133="","",((G133*F133)*(1+'Form "B" Field'!I134)))</f>
        <v/>
      </c>
    </row>
    <row r="134" spans="2:13" x14ac:dyDescent="0.25">
      <c r="B134" s="2212" t="s">
        <v>281</v>
      </c>
      <c r="C134" s="2214"/>
      <c r="D134" s="716">
        <v>8260</v>
      </c>
      <c r="E134" s="44"/>
      <c r="F134" s="1171" t="str">
        <f>IF(G134="","",('Form "B" Field'!F135))</f>
        <v/>
      </c>
      <c r="G134" s="1172" t="str">
        <f>IF('Form "B" Field'!J135&lt;&gt;"",'Form "B" Field'!J135,"")</f>
        <v/>
      </c>
      <c r="H134" s="1173"/>
      <c r="I134" s="1174"/>
      <c r="J134" s="1175"/>
      <c r="K134" s="1226" t="str">
        <f t="shared" si="8"/>
        <v/>
      </c>
      <c r="M134" s="811" t="str">
        <f>IF(G134="","",((G134*F134)*(1+'Form "B" Field'!I135)))</f>
        <v/>
      </c>
    </row>
    <row r="135" spans="2:13" x14ac:dyDescent="0.25">
      <c r="B135" s="2212" t="s">
        <v>749</v>
      </c>
      <c r="C135" s="2214"/>
      <c r="D135" s="716">
        <v>524.20000000000005</v>
      </c>
      <c r="E135" s="44"/>
      <c r="F135" s="1171" t="str">
        <f>IF(G135="","",('Form "B" Field'!F136))</f>
        <v/>
      </c>
      <c r="G135" s="1172" t="str">
        <f>IF('Form "B" Field'!J136&lt;&gt;"",'Form "B" Field'!J136,"")</f>
        <v/>
      </c>
      <c r="H135" s="1173"/>
      <c r="I135" s="1174"/>
      <c r="J135" s="1175"/>
      <c r="K135" s="1226" t="str">
        <f t="shared" si="8"/>
        <v/>
      </c>
      <c r="M135" s="811" t="str">
        <f>IF(G135="","",((G135*F135)*(1+'Form "B" Field'!I136)))</f>
        <v/>
      </c>
    </row>
    <row r="136" spans="2:13" x14ac:dyDescent="0.25">
      <c r="B136" s="51" t="s">
        <v>750</v>
      </c>
      <c r="C136" s="44"/>
      <c r="D136" s="716" t="s">
        <v>856</v>
      </c>
      <c r="E136" s="44"/>
      <c r="F136" s="1171" t="str">
        <f>IF(G136="","",('Form "B" Field'!F137))</f>
        <v/>
      </c>
      <c r="G136" s="1172" t="str">
        <f>IF('Form "B" Field'!J137&lt;&gt;"",'Form "B" Field'!J137,"")</f>
        <v/>
      </c>
      <c r="H136" s="1173"/>
      <c r="I136" s="1174"/>
      <c r="J136" s="1175"/>
      <c r="K136" s="1226" t="str">
        <f t="shared" si="8"/>
        <v/>
      </c>
      <c r="M136" s="811" t="str">
        <f>IF(G136="","",((G136*F136)*(1+'Form "B" Field'!I137)))</f>
        <v/>
      </c>
    </row>
    <row r="137" spans="2:13" x14ac:dyDescent="0.25">
      <c r="B137" s="51" t="s">
        <v>77</v>
      </c>
      <c r="C137" s="44"/>
      <c r="D137" s="716">
        <v>8260</v>
      </c>
      <c r="E137" s="44"/>
      <c r="F137" s="1171" t="str">
        <f>IF(G137="","",('Form "B" Field'!F138))</f>
        <v/>
      </c>
      <c r="G137" s="1172" t="str">
        <f>IF('Form "B" Field'!J138&lt;&gt;"",'Form "B" Field'!J138,"")</f>
        <v/>
      </c>
      <c r="H137" s="1173"/>
      <c r="I137" s="1174"/>
      <c r="J137" s="1175"/>
      <c r="K137" s="1226" t="str">
        <f t="shared" si="8"/>
        <v/>
      </c>
      <c r="M137" s="811" t="str">
        <f>IF(G137="","",((G137*F137)*(1+'Form "B" Field'!I138)))</f>
        <v/>
      </c>
    </row>
    <row r="138" spans="2:13" x14ac:dyDescent="0.25">
      <c r="B138" s="51" t="s">
        <v>78</v>
      </c>
      <c r="C138" s="44"/>
      <c r="D138" s="716">
        <v>8260</v>
      </c>
      <c r="E138" s="44"/>
      <c r="F138" s="1171" t="str">
        <f>IF(G138="","",('Form "B" Field'!F139))</f>
        <v/>
      </c>
      <c r="G138" s="1172" t="str">
        <f>IF('Form "B" Field'!J139&lt;&gt;"",'Form "B" Field'!J139,"")</f>
        <v/>
      </c>
      <c r="H138" s="1173"/>
      <c r="I138" s="1174"/>
      <c r="J138" s="1175"/>
      <c r="K138" s="1226" t="str">
        <f t="shared" si="8"/>
        <v/>
      </c>
      <c r="M138" s="811" t="str">
        <f>IF(G138="","",((G138*F138)*(1+'Form "B" Field'!I139)))</f>
        <v/>
      </c>
    </row>
    <row r="139" spans="2:13" x14ac:dyDescent="0.25">
      <c r="B139" s="2212" t="s">
        <v>342</v>
      </c>
      <c r="C139" s="2213"/>
      <c r="D139" s="44"/>
      <c r="E139" s="44"/>
      <c r="F139" s="1171" t="str">
        <f>IF(G139="","",('Form "B" Field'!F140))</f>
        <v/>
      </c>
      <c r="G139" s="1172" t="str">
        <f>IF('Form "B" Field'!J140&lt;&gt;"",'Form "B" Field'!J140,"")</f>
        <v/>
      </c>
      <c r="H139" s="1173"/>
      <c r="I139" s="1174"/>
      <c r="J139" s="1175"/>
      <c r="K139" s="1226" t="str">
        <f t="shared" si="8"/>
        <v/>
      </c>
      <c r="M139" s="811" t="str">
        <f>IF(G139="","",((G139*F139)*(1+'Form "B" Field'!I140)))</f>
        <v/>
      </c>
    </row>
    <row r="140" spans="2:13" x14ac:dyDescent="0.25">
      <c r="B140" s="2212" t="s">
        <v>343</v>
      </c>
      <c r="C140" s="2213"/>
      <c r="D140" s="44"/>
      <c r="E140" s="44"/>
      <c r="F140" s="1171" t="str">
        <f>IF(G140="","",('Form "B" Field'!F141))</f>
        <v/>
      </c>
      <c r="G140" s="1172" t="str">
        <f>IF('Form "B" Field'!J141&lt;&gt;"",'Form "B" Field'!J141,"")</f>
        <v/>
      </c>
      <c r="H140" s="1173"/>
      <c r="I140" s="1174"/>
      <c r="J140" s="1175"/>
      <c r="K140" s="1226" t="str">
        <f t="shared" si="8"/>
        <v/>
      </c>
      <c r="M140" s="811" t="str">
        <f>IF(G140="","",((G140*F140)*(1+'Form "B" Field'!I141)))</f>
        <v/>
      </c>
    </row>
    <row r="141" spans="2:13" x14ac:dyDescent="0.25">
      <c r="B141" s="2212" t="s">
        <v>337</v>
      </c>
      <c r="C141" s="2213"/>
      <c r="D141" s="44"/>
      <c r="E141" s="44"/>
      <c r="F141" s="1171" t="str">
        <f>IF(G141="","",('Form "B" Field'!F142))</f>
        <v/>
      </c>
      <c r="G141" s="1172" t="str">
        <f>IF('Form "B" Field'!J142&lt;&gt;"",'Form "B" Field'!J142,"")</f>
        <v/>
      </c>
      <c r="H141" s="1173"/>
      <c r="I141" s="1174"/>
      <c r="J141" s="1175"/>
      <c r="K141" s="1226" t="str">
        <f t="shared" si="8"/>
        <v/>
      </c>
      <c r="M141" s="811" t="str">
        <f>IF(G141="","",((G141*F141)*(1+'Form "B" Field'!I142)))</f>
        <v/>
      </c>
    </row>
    <row r="142" spans="2:13" x14ac:dyDescent="0.25">
      <c r="B142" s="2212" t="s">
        <v>335</v>
      </c>
      <c r="C142" s="2213"/>
      <c r="D142" s="44"/>
      <c r="E142" s="44"/>
      <c r="F142" s="1171" t="str">
        <f>IF(G142="","",('Form "B" Field'!F143))</f>
        <v/>
      </c>
      <c r="G142" s="1172" t="str">
        <f>IF('Form "B" Field'!J143&lt;&gt;"",'Form "B" Field'!J143,"")</f>
        <v/>
      </c>
      <c r="H142" s="1173"/>
      <c r="I142" s="1174"/>
      <c r="J142" s="1175"/>
      <c r="K142" s="1226" t="str">
        <f t="shared" si="8"/>
        <v/>
      </c>
      <c r="M142" s="811" t="str">
        <f>IF(G142="","",((G142*F142)*(1+'Form "B" Field'!I143)))</f>
        <v/>
      </c>
    </row>
    <row r="143" spans="2:13" x14ac:dyDescent="0.25">
      <c r="B143" s="878" t="s">
        <v>848</v>
      </c>
      <c r="C143" s="621"/>
      <c r="D143" s="44"/>
      <c r="E143" s="44"/>
      <c r="F143" s="1171" t="str">
        <f>IF(G143="","",('Form "B" Field'!F144))</f>
        <v/>
      </c>
      <c r="G143" s="1172" t="str">
        <f>IF('Form "B" Field'!J144&lt;&gt;"",'Form "B" Field'!J144,"")</f>
        <v/>
      </c>
      <c r="H143" s="1173"/>
      <c r="I143" s="1174"/>
      <c r="J143" s="1175"/>
      <c r="K143" s="1226" t="str">
        <f t="shared" si="8"/>
        <v/>
      </c>
      <c r="M143" s="811" t="str">
        <f>IF(G143="","",((G143*F143)*(1+'Form "B" Field'!I144)))</f>
        <v/>
      </c>
    </row>
    <row r="144" spans="2:13" x14ac:dyDescent="0.25">
      <c r="B144" s="878" t="s">
        <v>336</v>
      </c>
      <c r="C144" s="621"/>
      <c r="D144" s="44"/>
      <c r="E144" s="44"/>
      <c r="F144" s="1171" t="str">
        <f>IF(G144="","",('Form "B" Field'!F145))</f>
        <v/>
      </c>
      <c r="G144" s="1172" t="str">
        <f>IF('Form "B" Field'!J145&lt;&gt;"",'Form "B" Field'!J145,"")</f>
        <v/>
      </c>
      <c r="H144" s="1173"/>
      <c r="I144" s="1174"/>
      <c r="J144" s="1175"/>
      <c r="K144" s="1226" t="str">
        <f t="shared" si="8"/>
        <v/>
      </c>
      <c r="L144" s="1779">
        <v>0.1</v>
      </c>
      <c r="M144" s="811" t="str">
        <f>IF(G144="","",((G144*F144)*(1+'Form "B" Field'!I145)))</f>
        <v/>
      </c>
    </row>
    <row r="145" spans="2:13" x14ac:dyDescent="0.25">
      <c r="B145" s="878" t="s">
        <v>338</v>
      </c>
      <c r="C145" s="621"/>
      <c r="D145" s="44"/>
      <c r="E145" s="44"/>
      <c r="F145" s="1171" t="str">
        <f>IF(G145="","",('Form "B" Field'!F146))</f>
        <v/>
      </c>
      <c r="G145" s="1172" t="str">
        <f>IF('Form "B" Field'!J146&lt;&gt;"",'Form "B" Field'!J146,"")</f>
        <v/>
      </c>
      <c r="H145" s="1173"/>
      <c r="I145" s="1174"/>
      <c r="J145" s="1175"/>
      <c r="K145" s="1226" t="str">
        <f t="shared" si="8"/>
        <v/>
      </c>
      <c r="L145" s="1779">
        <v>0.05</v>
      </c>
      <c r="M145" s="811" t="str">
        <f>IF(G145="","",((G145*F145)*(1+'Form "B" Field'!I146)))</f>
        <v/>
      </c>
    </row>
    <row r="146" spans="2:13" x14ac:dyDescent="0.25">
      <c r="B146" s="878" t="s">
        <v>339</v>
      </c>
      <c r="C146" s="621"/>
      <c r="D146" s="44"/>
      <c r="E146" s="44"/>
      <c r="F146" s="1171" t="str">
        <f>IF(G146="","",('Form "B" Field'!F147))</f>
        <v/>
      </c>
      <c r="G146" s="1172" t="str">
        <f>IF('Form "B" Field'!J147&lt;&gt;"",'Form "B" Field'!J147,"")</f>
        <v/>
      </c>
      <c r="H146" s="1173"/>
      <c r="I146" s="1174"/>
      <c r="J146" s="1175"/>
      <c r="K146" s="1226" t="str">
        <f t="shared" si="8"/>
        <v/>
      </c>
      <c r="M146" s="811" t="str">
        <f>IF(G146="","",((G146*F146)*(1+'Form "B" Field'!I147)))</f>
        <v/>
      </c>
    </row>
    <row r="147" spans="2:13" x14ac:dyDescent="0.25">
      <c r="B147" s="2212" t="s">
        <v>340</v>
      </c>
      <c r="C147" s="2213"/>
      <c r="D147" s="44"/>
      <c r="E147" s="44"/>
      <c r="F147" s="1171" t="str">
        <f>IF(G147="","",('Form "B" Field'!F148))</f>
        <v/>
      </c>
      <c r="G147" s="1172" t="str">
        <f>IF('Form "B" Field'!J148&lt;&gt;"",'Form "B" Field'!J148,"")</f>
        <v/>
      </c>
      <c r="H147" s="1173"/>
      <c r="I147" s="1174"/>
      <c r="J147" s="1175"/>
      <c r="K147" s="1226" t="str">
        <f t="shared" si="8"/>
        <v/>
      </c>
      <c r="M147" s="811" t="str">
        <f>IF(G147="","",((G147*F147)*(1+'Form "B" Field'!I148)))</f>
        <v/>
      </c>
    </row>
    <row r="148" spans="2:13" x14ac:dyDescent="0.25">
      <c r="B148" s="51" t="s">
        <v>1042</v>
      </c>
      <c r="C148" s="44"/>
      <c r="D148" s="44"/>
      <c r="E148" s="44"/>
      <c r="F148" s="1171" t="str">
        <f>IF(G148="","",('Form "B" Field'!F149))</f>
        <v/>
      </c>
      <c r="G148" s="1172" t="str">
        <f>IF('Form "B" Field'!J149&lt;&gt;"",'Form "B" Field'!J149,"")</f>
        <v/>
      </c>
      <c r="H148" s="1173"/>
      <c r="I148" s="1174"/>
      <c r="J148" s="1175"/>
      <c r="K148" s="1226" t="str">
        <f t="shared" si="8"/>
        <v/>
      </c>
      <c r="M148" s="811" t="str">
        <f>IF(G148="","",((G148*F147)*(1+'Form "B" Field'!I149)))</f>
        <v/>
      </c>
    </row>
    <row r="149" spans="2:13" x14ac:dyDescent="0.25">
      <c r="B149" s="878" t="s">
        <v>1041</v>
      </c>
      <c r="C149" s="836"/>
      <c r="D149" s="44"/>
      <c r="E149" s="44"/>
      <c r="F149" s="1171" t="str">
        <f>IF(G149="","",('Form "B" Field'!F150))</f>
        <v/>
      </c>
      <c r="G149" s="1172" t="str">
        <f>IF('Form "B" Field'!J150&lt;&gt;"",'Form "B" Field'!J150,"")</f>
        <v/>
      </c>
      <c r="H149" s="1173"/>
      <c r="I149" s="1174"/>
      <c r="J149" s="1175"/>
      <c r="K149" s="1226" t="str">
        <f t="shared" si="8"/>
        <v/>
      </c>
      <c r="M149" s="811" t="str">
        <f>IF(G149="","",((G149*F149)*(1+'Form "B" Field'!I150)))</f>
        <v/>
      </c>
    </row>
    <row r="150" spans="2:13" x14ac:dyDescent="0.25">
      <c r="B150" s="878" t="s">
        <v>837</v>
      </c>
      <c r="C150" s="621"/>
      <c r="D150" s="44"/>
      <c r="E150" s="44"/>
      <c r="F150" s="1171" t="str">
        <f>IF(G150="","",('Form "B" Field'!F151))</f>
        <v/>
      </c>
      <c r="G150" s="1172" t="str">
        <f>IF('Form "B" Field'!J151&lt;&gt;"",'Form "B" Field'!J151,"")</f>
        <v/>
      </c>
      <c r="H150" s="1173"/>
      <c r="I150" s="1174"/>
      <c r="J150" s="1175"/>
      <c r="K150" s="1226" t="str">
        <f t="shared" si="8"/>
        <v/>
      </c>
      <c r="M150" s="811" t="str">
        <f>IF(G150="","",((G150*F150)*(1+'Form "B" Field'!I151)))</f>
        <v/>
      </c>
    </row>
    <row r="151" spans="2:13" x14ac:dyDescent="0.25">
      <c r="B151" s="878" t="s">
        <v>838</v>
      </c>
      <c r="C151" s="621"/>
      <c r="D151" s="44"/>
      <c r="E151" s="44"/>
      <c r="F151" s="1171" t="str">
        <f>IF(G151="","",('Form "B" Field'!F152))</f>
        <v/>
      </c>
      <c r="G151" s="1172" t="str">
        <f>IF('Form "B" Field'!J152&lt;&gt;"",'Form "B" Field'!J152,"")</f>
        <v/>
      </c>
      <c r="H151" s="1173"/>
      <c r="I151" s="1174"/>
      <c r="J151" s="1175"/>
      <c r="K151" s="1226" t="str">
        <f t="shared" si="8"/>
        <v/>
      </c>
      <c r="M151" s="811" t="str">
        <f>IF(G151="","",((G151*F151)*(1+'Form "B" Field'!I152)))</f>
        <v/>
      </c>
    </row>
    <row r="152" spans="2:13" x14ac:dyDescent="0.25">
      <c r="B152" s="878" t="s">
        <v>836</v>
      </c>
      <c r="C152" s="621"/>
      <c r="D152" s="44"/>
      <c r="E152" s="44"/>
      <c r="F152" s="1171" t="str">
        <f>IF(G152="","",('Form "B" Field'!F153))</f>
        <v/>
      </c>
      <c r="G152" s="1172" t="str">
        <f>IF('Form "B" Field'!J153&lt;&gt;"",'Form "B" Field'!J153,"")</f>
        <v/>
      </c>
      <c r="H152" s="1173"/>
      <c r="I152" s="1174"/>
      <c r="J152" s="1175"/>
      <c r="K152" s="1226" t="str">
        <f t="shared" si="8"/>
        <v/>
      </c>
      <c r="M152" s="811" t="str">
        <f>IF(G152="","",((G152*F152)*(1+'Form "B" Field'!I153)))</f>
        <v/>
      </c>
    </row>
    <row r="153" spans="2:13" x14ac:dyDescent="0.25">
      <c r="B153" s="878" t="s">
        <v>667</v>
      </c>
      <c r="C153" s="1354"/>
      <c r="D153" s="1355"/>
      <c r="E153" s="44"/>
      <c r="F153" s="1171" t="str">
        <f>IF(G153="","",('Form "B" Field'!F154))</f>
        <v/>
      </c>
      <c r="G153" s="1172" t="str">
        <f>IF('Form "B" Field'!J154&lt;&gt;"",'Form "B" Field'!J154,"")</f>
        <v/>
      </c>
      <c r="H153" s="1173"/>
      <c r="I153" s="1174"/>
      <c r="J153" s="1175"/>
      <c r="K153" s="1226" t="str">
        <f t="shared" si="8"/>
        <v/>
      </c>
      <c r="M153" s="811" t="str">
        <f>IF(G153="","",((G153*F153)*(1+'Form "B" Field'!I154)))</f>
        <v/>
      </c>
    </row>
    <row r="154" spans="2:13" ht="13.2" customHeight="1" x14ac:dyDescent="0.25">
      <c r="B154" s="920" t="s">
        <v>667</v>
      </c>
      <c r="C154" s="1354"/>
      <c r="D154" s="1355"/>
      <c r="E154" s="44"/>
      <c r="F154" s="1171" t="str">
        <f>IF(G154="","",('Form "B" Field'!F155))</f>
        <v/>
      </c>
      <c r="G154" s="1172" t="str">
        <f>IF('Form "B" Field'!J155&lt;&gt;"",'Form "B" Field'!J155,"")</f>
        <v/>
      </c>
      <c r="H154" s="1173"/>
      <c r="I154" s="1174"/>
      <c r="J154" s="1175"/>
      <c r="K154" s="1226" t="str">
        <f t="shared" si="8"/>
        <v/>
      </c>
      <c r="M154" s="811" t="str">
        <f>IF(G154="","",((G154*F154)*(1+'Form "B" Field'!I155)))</f>
        <v/>
      </c>
    </row>
    <row r="155" spans="2:13" ht="13.2" customHeight="1" x14ac:dyDescent="0.25">
      <c r="B155" s="878" t="s">
        <v>667</v>
      </c>
      <c r="C155" s="1354"/>
      <c r="D155" s="1355"/>
      <c r="E155" s="44"/>
      <c r="F155" s="1171" t="str">
        <f>IF(G155="","",('Form "B" Field'!F156))</f>
        <v/>
      </c>
      <c r="G155" s="1172" t="str">
        <f>IF('Form "B" Field'!J156&lt;&gt;"",'Form "B" Field'!J156,"")</f>
        <v/>
      </c>
      <c r="H155" s="1173"/>
      <c r="I155" s="1174"/>
      <c r="J155" s="1175"/>
      <c r="K155" s="1226" t="str">
        <f t="shared" si="8"/>
        <v/>
      </c>
      <c r="M155" s="811" t="str">
        <f>IF(G155="","",((G155*F155)*(1+'Form "B" Field'!I156)))</f>
        <v/>
      </c>
    </row>
    <row r="156" spans="2:13" hidden="1" x14ac:dyDescent="0.25">
      <c r="B156" s="878"/>
      <c r="C156" s="621"/>
      <c r="D156" s="44"/>
      <c r="E156" s="44"/>
      <c r="F156" s="1127"/>
      <c r="G156" s="1128"/>
      <c r="H156" s="1129"/>
      <c r="I156" s="44"/>
      <c r="J156" s="1103"/>
      <c r="K156" s="1226"/>
      <c r="M156" s="811" t="str">
        <f t="shared" ref="M156:M167" si="9">IF(I156="","",(I156*H156))</f>
        <v/>
      </c>
    </row>
    <row r="157" spans="2:13" hidden="1" x14ac:dyDescent="0.25">
      <c r="B157" s="878"/>
      <c r="C157" s="621"/>
      <c r="D157" s="44"/>
      <c r="E157" s="44"/>
      <c r="F157" s="1130"/>
      <c r="G157" s="1131"/>
      <c r="H157" s="26"/>
      <c r="I157" s="44"/>
      <c r="J157" s="1103"/>
      <c r="K157" s="1226"/>
      <c r="M157" s="811" t="str">
        <f t="shared" si="9"/>
        <v/>
      </c>
    </row>
    <row r="158" spans="2:13" hidden="1" x14ac:dyDescent="0.25">
      <c r="B158" s="1098"/>
      <c r="C158" s="44"/>
      <c r="D158" s="827"/>
      <c r="E158" s="44"/>
      <c r="F158" s="1130"/>
      <c r="G158" s="44"/>
      <c r="H158" s="26"/>
      <c r="I158" s="44"/>
      <c r="J158" s="44"/>
      <c r="K158" s="1228"/>
      <c r="M158" s="811" t="str">
        <f t="shared" si="9"/>
        <v/>
      </c>
    </row>
    <row r="159" spans="2:13" hidden="1" x14ac:dyDescent="0.25">
      <c r="B159" s="1098" t="s">
        <v>236</v>
      </c>
      <c r="C159" s="827" t="s">
        <v>237</v>
      </c>
      <c r="D159" s="827" t="s">
        <v>238</v>
      </c>
      <c r="E159" s="827" t="s">
        <v>239</v>
      </c>
      <c r="F159" s="1103"/>
      <c r="G159" s="557" t="s">
        <v>241</v>
      </c>
      <c r="H159" s="26"/>
      <c r="I159" s="827" t="s">
        <v>758</v>
      </c>
      <c r="J159" s="827" t="s">
        <v>759</v>
      </c>
      <c r="K159" s="1228"/>
    </row>
    <row r="160" spans="2:13" hidden="1" x14ac:dyDescent="0.25">
      <c r="B160" s="1098">
        <v>8021</v>
      </c>
      <c r="C160" s="827"/>
      <c r="D160" s="827"/>
      <c r="E160" s="827"/>
      <c r="F160" s="1103">
        <v>6020</v>
      </c>
      <c r="G160" s="827"/>
      <c r="H160" s="26"/>
      <c r="I160" s="827">
        <v>525.1</v>
      </c>
      <c r="J160" s="921">
        <v>8021</v>
      </c>
      <c r="K160" s="1228"/>
      <c r="M160" s="811">
        <f t="shared" si="9"/>
        <v>0</v>
      </c>
    </row>
    <row r="161" spans="2:13" hidden="1" x14ac:dyDescent="0.25">
      <c r="B161" s="1098">
        <v>8260</v>
      </c>
      <c r="C161" s="827">
        <v>8021</v>
      </c>
      <c r="D161" s="827"/>
      <c r="E161" s="827"/>
      <c r="F161" s="1103"/>
      <c r="G161" s="827"/>
      <c r="H161" s="26"/>
      <c r="I161" s="44"/>
      <c r="J161" s="921">
        <v>8260</v>
      </c>
      <c r="K161" s="1228"/>
      <c r="M161" s="811" t="str">
        <f t="shared" si="9"/>
        <v/>
      </c>
    </row>
    <row r="162" spans="2:13" hidden="1" x14ac:dyDescent="0.25">
      <c r="B162" s="1098">
        <v>602</v>
      </c>
      <c r="C162" s="827">
        <v>8260</v>
      </c>
      <c r="D162" s="827">
        <v>8270</v>
      </c>
      <c r="E162" s="827">
        <v>8270</v>
      </c>
      <c r="F162" s="1130"/>
      <c r="G162" s="827">
        <v>9071</v>
      </c>
      <c r="H162" s="26"/>
      <c r="I162" s="865" t="s">
        <v>753</v>
      </c>
      <c r="J162" s="921"/>
      <c r="K162" s="1228"/>
    </row>
    <row r="163" spans="2:13" hidden="1" x14ac:dyDescent="0.25">
      <c r="B163" s="1098"/>
      <c r="C163" s="827" t="s">
        <v>694</v>
      </c>
      <c r="D163" s="827"/>
      <c r="E163" s="827"/>
      <c r="F163" s="1130"/>
      <c r="G163" s="1132" t="s">
        <v>961</v>
      </c>
      <c r="H163" s="827">
        <v>8021</v>
      </c>
      <c r="I163" s="1133">
        <v>8011</v>
      </c>
      <c r="J163" s="921"/>
      <c r="K163" s="1228"/>
      <c r="M163" s="811">
        <f t="shared" si="9"/>
        <v>64256231</v>
      </c>
    </row>
    <row r="164" spans="2:13" hidden="1" x14ac:dyDescent="0.25">
      <c r="B164" s="1098"/>
      <c r="C164" s="827"/>
      <c r="D164" s="827"/>
      <c r="E164" s="827"/>
      <c r="F164" s="1130"/>
      <c r="G164" s="1132" t="s">
        <v>962</v>
      </c>
      <c r="H164" s="827">
        <v>8260</v>
      </c>
      <c r="I164" s="1134">
        <v>504.1</v>
      </c>
      <c r="J164" s="44"/>
      <c r="K164" s="1228"/>
      <c r="M164" s="811">
        <f t="shared" si="9"/>
        <v>4163866</v>
      </c>
    </row>
    <row r="165" spans="2:13" hidden="1" x14ac:dyDescent="0.25">
      <c r="B165" s="1098"/>
      <c r="C165" s="44"/>
      <c r="D165" s="44"/>
      <c r="E165" s="827"/>
      <c r="F165" s="1130"/>
      <c r="G165" s="1131"/>
      <c r="H165" s="827">
        <v>502.2</v>
      </c>
      <c r="I165" s="1134">
        <v>524.20000000000005</v>
      </c>
      <c r="J165" s="44"/>
      <c r="K165" s="1228"/>
      <c r="M165" s="811">
        <f t="shared" si="9"/>
        <v>263253.24</v>
      </c>
    </row>
    <row r="166" spans="2:13" hidden="1" x14ac:dyDescent="0.25">
      <c r="B166" s="51"/>
      <c r="C166" s="44"/>
      <c r="D166" s="44"/>
      <c r="E166" s="44"/>
      <c r="F166" s="1130"/>
      <c r="G166" s="1131"/>
      <c r="H166" s="915">
        <v>524.20000000000005</v>
      </c>
      <c r="I166" s="827">
        <v>8260</v>
      </c>
      <c r="J166" s="44"/>
      <c r="K166" s="1228"/>
      <c r="M166" s="811">
        <f t="shared" si="9"/>
        <v>4329892</v>
      </c>
    </row>
    <row r="167" spans="2:13" ht="9.6" customHeight="1" thickBot="1" x14ac:dyDescent="0.3">
      <c r="B167" s="52"/>
      <c r="C167" s="663"/>
      <c r="D167" s="663"/>
      <c r="E167" s="663"/>
      <c r="F167" s="663"/>
      <c r="G167" s="890"/>
      <c r="H167" s="1123">
        <f>SUM(K126:K157)</f>
        <v>0</v>
      </c>
      <c r="I167" s="663"/>
      <c r="J167" s="663"/>
      <c r="K167" s="1248"/>
      <c r="M167" s="811" t="str">
        <f t="shared" si="9"/>
        <v/>
      </c>
    </row>
    <row r="168" spans="2:13" ht="16.2" thickBot="1" x14ac:dyDescent="0.35">
      <c r="B168" s="1135" t="s">
        <v>1001</v>
      </c>
      <c r="C168" s="838"/>
      <c r="D168" s="838"/>
      <c r="E168" s="1136"/>
      <c r="F168" s="1250">
        <f>('Form "B" Field'!$K$167)</f>
        <v>0</v>
      </c>
      <c r="G168" s="1137" t="s">
        <v>862</v>
      </c>
      <c r="H168" s="1138"/>
      <c r="I168" s="838"/>
      <c r="J168" s="1139"/>
      <c r="K168" s="1249">
        <f>SUM(K10:K155)</f>
        <v>0</v>
      </c>
      <c r="M168" s="811">
        <f>SUM(M10:M155)</f>
        <v>0</v>
      </c>
    </row>
  </sheetData>
  <sheetProtection algorithmName="SHA-512" hashValue="9iW2nV2kngCMayQMa5iCrRPYrtXA5p0gNSaOA0/m+iGPfPrrsgY5ujgtz3mzukGcmD4amsoI8zC3cebT+4OeYQ==" saltValue="oaxR39WYpj1tJOfu0B8ayA==" spinCount="100000" sheet="1" objects="1" scenarios="1" selectLockedCells="1"/>
  <protectedRanges>
    <protectedRange sqref="J10:J15 J18:J21 J23:J26 J30:J34 J37:J41 J43:J48 J50:J81 J85:J88 J90:J93 J100:J117 H121 J119:J121 D126:D138 H126:J155 C153:D155" name="Range2"/>
  </protectedRanges>
  <customSheetViews>
    <customSheetView guid="{BC429C65-53B8-4F97-88D2-74ECCD734800}" showGridLines="0" showRowCol="0" fitToPage="1" hiddenRows="1" state="hidden">
      <selection activeCell="B3" sqref="B3:J3"/>
      <pageMargins left="0.25" right="0.25" top="0.75" bottom="1" header="0" footer="0.3"/>
      <printOptions horizontalCentered="1"/>
      <pageSetup scale="93" fitToHeight="3" orientation="portrait" r:id="rId1"/>
      <headerFooter>
        <oddHeader>&amp;RPR</oddHeader>
      </headerFooter>
    </customSheetView>
  </customSheetViews>
  <mergeCells count="23">
    <mergeCell ref="B130:C130"/>
    <mergeCell ref="F86:G86"/>
    <mergeCell ref="B3:K3"/>
    <mergeCell ref="B126:C126"/>
    <mergeCell ref="B127:C127"/>
    <mergeCell ref="B128:C128"/>
    <mergeCell ref="B129:C129"/>
    <mergeCell ref="F123:F125"/>
    <mergeCell ref="G123:G125"/>
    <mergeCell ref="H123:H125"/>
    <mergeCell ref="I123:I125"/>
    <mergeCell ref="J123:J125"/>
    <mergeCell ref="D123:D125"/>
    <mergeCell ref="B131:C131"/>
    <mergeCell ref="B132:C132"/>
    <mergeCell ref="B133:C133"/>
    <mergeCell ref="B134:C134"/>
    <mergeCell ref="B135:C135"/>
    <mergeCell ref="B147:C147"/>
    <mergeCell ref="B139:C139"/>
    <mergeCell ref="B140:C140"/>
    <mergeCell ref="B141:C141"/>
    <mergeCell ref="B142:C142"/>
  </mergeCells>
  <phoneticPr fontId="21" type="noConversion"/>
  <dataValidations xWindow="827" yWindow="606" count="23">
    <dataValidation type="list" allowBlank="1" showInputMessage="1" showErrorMessage="1" sqref="D135:D136" xr:uid="{00000000-0002-0000-0C00-000000000000}">
      <formula1>I163:I165</formula1>
    </dataValidation>
    <dataValidation type="list" allowBlank="1" showInputMessage="1" showErrorMessage="1" prompt="method" sqref="D129" xr:uid="{00000000-0002-0000-0C00-000001000000}">
      <formula1>D162</formula1>
    </dataValidation>
    <dataValidation type="list" showInputMessage="1" showErrorMessage="1" prompt="method_x000a_" sqref="D126" xr:uid="{00000000-0002-0000-0C00-000002000000}">
      <formula1>B160:B162</formula1>
    </dataValidation>
    <dataValidation type="list" allowBlank="1" showInputMessage="1" showErrorMessage="1" prompt="method_x000a_" sqref="D127" xr:uid="{00000000-0002-0000-0C00-000003000000}">
      <formula1>C161:C162</formula1>
    </dataValidation>
    <dataValidation type="list" allowBlank="1" showInputMessage="1" showErrorMessage="1" sqref="D138" xr:uid="{00000000-0002-0000-0C00-000004000000}">
      <formula1>C162:C163</formula1>
    </dataValidation>
    <dataValidation type="list" allowBlank="1" showInputMessage="1" showErrorMessage="1" prompt="method" sqref="D128" xr:uid="{00000000-0002-0000-0C00-000005000000}">
      <formula1>E162</formula1>
    </dataValidation>
    <dataValidation type="list" allowBlank="1" showInputMessage="1" showErrorMessage="1" sqref="D130" xr:uid="{00000000-0002-0000-0C00-000006000000}">
      <formula1>F160</formula1>
    </dataValidation>
    <dataValidation type="list" allowBlank="1" showInputMessage="1" showErrorMessage="1" sqref="D131" xr:uid="{00000000-0002-0000-0C00-000007000000}">
      <formula1>F160</formula1>
    </dataValidation>
    <dataValidation type="list" allowBlank="1" showInputMessage="1" showErrorMessage="1" sqref="D133" xr:uid="{00000000-0002-0000-0C00-000008000000}">
      <formula1>I160</formula1>
    </dataValidation>
    <dataValidation type="list" allowBlank="1" showInputMessage="1" showErrorMessage="1" sqref="D134" xr:uid="{00000000-0002-0000-0C00-000009000000}">
      <formula1>I165:I166</formula1>
    </dataValidation>
    <dataValidation type="list" allowBlank="1" showInputMessage="1" showErrorMessage="1" sqref="D137" xr:uid="{00000000-0002-0000-0C00-00000B000000}">
      <formula1>C162:C163</formula1>
    </dataValidation>
    <dataValidation type="list" allowBlank="1" showInputMessage="1" showErrorMessage="1" sqref="D132" xr:uid="{00000000-0002-0000-0C00-00000C000000}">
      <formula1>G162:$G$164</formula1>
    </dataValidation>
    <dataValidation type="whole" allowBlank="1" showInputMessage="1" showErrorMessage="1" sqref="J119:J121" xr:uid="{00000000-0002-0000-0C00-00000D000000}">
      <formula1>0</formula1>
      <formula2>1</formula2>
    </dataValidation>
    <dataValidation type="list" allowBlank="1" showErrorMessage="1" prompt="Enter &quot;10&quot; for 10%" sqref="J126:J155" xr:uid="{00000000-0002-0000-0C00-00000E000000}">
      <formula1>$L$144:$L$145</formula1>
    </dataValidation>
    <dataValidation type="decimal" allowBlank="1" showInputMessage="1" showErrorMessage="1" prompt="Enter current mileage rate" sqref="J85" xr:uid="{00000000-0002-0000-0C00-00000F000000}">
      <formula1>0</formula1>
      <formula2>0.99</formula2>
    </dataValidation>
    <dataValidation type="decimal" allowBlank="1" showErrorMessage="1" sqref="H88" xr:uid="{00000000-0002-0000-0C00-000010000000}">
      <formula1>0</formula1>
      <formula2>0.99</formula2>
    </dataValidation>
    <dataValidation allowBlank="1" showErrorMessage="1" error="Enter amount on Form &quot;E&quot;" prompt="Enter amount of Form &quot;F&quot;" sqref="I82:I83" xr:uid="{00000000-0002-0000-0C00-000011000000}"/>
    <dataValidation allowBlank="1" showInputMessage="1" showErrorMessage="1" prompt="Enter travel time in hours_x000a_" sqref="J90:J93" xr:uid="{00000000-0002-0000-0C00-000012000000}"/>
    <dataValidation type="whole" operator="lessThanOrEqual" allowBlank="1" showInputMessage="1" showErrorMessage="1" prompt="Mileage one way, office to site. Not to be greater than 450 miles._x000a__x000a_" sqref="J86" xr:uid="{00000000-0002-0000-0C00-000013000000}">
      <formula1>450</formula1>
    </dataValidation>
    <dataValidation allowBlank="1" showInputMessage="1" showErrorMessage="1" prompt="Number of round trips, if not a round trip enter in other mileage_x000a_" sqref="J87" xr:uid="{00000000-0002-0000-0C00-000014000000}"/>
    <dataValidation allowBlank="1" showInputMessage="1" showErrorMessage="1" prompt="Enter Per Diem from Form &quot;E&quot;. Site should be greater than 50 miles from office._x000a_" sqref="J95:J98" xr:uid="{00000000-0002-0000-0C00-000015000000}"/>
    <dataValidation allowBlank="1" showInputMessage="1" showErrorMessage="1" prompt="Enter value from Form &quot;F&quot;_x000a_" sqref="H82:H83 J82:J83" xr:uid="{00000000-0002-0000-0C00-000016000000}"/>
    <dataValidation type="list" allowBlank="1" showInputMessage="1" showErrorMessage="1" sqref="C106" xr:uid="{6D8573A4-8359-4B76-8426-B8ABC30FADF3}">
      <formula1>$D$106:$D$107</formula1>
    </dataValidation>
  </dataValidations>
  <printOptions horizontalCentered="1"/>
  <pageMargins left="0.5" right="0.5" top="0.75" bottom="0.45" header="0.18" footer="0"/>
  <pageSetup scale="90" fitToHeight="3" orientation="portrait" r:id="rId2"/>
  <headerFooter>
    <oddHeader>&amp;RPR</oddHeader>
    <oddFooter>&amp;LADEM Form 32 DRAFT &amp;C2/2025&amp;R*M9 DRAFT</oddFooter>
  </headerFooter>
  <rowBreaks count="2" manualBreakCount="2">
    <brk id="62" min="1" max="10" man="1"/>
    <brk id="117" min="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4339" r:id="rId5" name="Button 3">
              <controlPr defaultSize="0" print="0" autoFill="0" autoPict="0" macro="[0]!deleteprbinputs">
                <anchor>
                  <from>
                    <xdr:col>0</xdr:col>
                    <xdr:colOff>137160</xdr:colOff>
                    <xdr:row>14</xdr:row>
                    <xdr:rowOff>137160</xdr:rowOff>
                  </from>
                  <to>
                    <xdr:col>0</xdr:col>
                    <xdr:colOff>838200</xdr:colOff>
                    <xdr:row>20</xdr:row>
                    <xdr:rowOff>0</xdr:rowOff>
                  </to>
                </anchor>
              </controlPr>
            </control>
          </mc:Choice>
        </mc:AlternateContent>
        <mc:AlternateContent xmlns:mc="http://schemas.openxmlformats.org/markup-compatibility/2006">
          <mc:Choice Requires="x14">
            <control shapeId="14341" r:id="rId6" name="Button 5">
              <controlPr defaultSize="0" print="0" autoFill="0" autoPict="0" macro="[0]!one">
                <anchor>
                  <from>
                    <xdr:col>0</xdr:col>
                    <xdr:colOff>152400</xdr:colOff>
                    <xdr:row>10</xdr:row>
                    <xdr:rowOff>22860</xdr:rowOff>
                  </from>
                  <to>
                    <xdr:col>0</xdr:col>
                    <xdr:colOff>822960</xdr:colOff>
                    <xdr:row>13</xdr:row>
                    <xdr:rowOff>60960</xdr:rowOff>
                  </to>
                </anchor>
              </controlPr>
            </control>
          </mc:Choice>
        </mc:AlternateContent>
        <mc:AlternateContent xmlns:mc="http://schemas.openxmlformats.org/markup-compatibility/2006">
          <mc:Choice Requires="x14">
            <control shapeId="14342" r:id="rId7" name="Button 6">
              <controlPr defaultSize="0" print="0" autoFill="0" autoPict="0" macro="[0]!nine">
                <anchor>
                  <from>
                    <xdr:col>0</xdr:col>
                    <xdr:colOff>106680</xdr:colOff>
                    <xdr:row>131</xdr:row>
                    <xdr:rowOff>0</xdr:rowOff>
                  </from>
                  <to>
                    <xdr:col>0</xdr:col>
                    <xdr:colOff>822960</xdr:colOff>
                    <xdr:row>135</xdr:row>
                    <xdr:rowOff>22860</xdr:rowOff>
                  </to>
                </anchor>
              </controlPr>
            </control>
          </mc:Choice>
        </mc:AlternateContent>
        <mc:AlternateContent xmlns:mc="http://schemas.openxmlformats.org/markup-compatibility/2006">
          <mc:Choice Requires="x14">
            <control shapeId="14343" r:id="rId8" name="Button 7">
              <controlPr defaultSize="0" print="0" autoFill="0" autoPict="0" macro="[0]!nine">
                <anchor>
                  <from>
                    <xdr:col>0</xdr:col>
                    <xdr:colOff>137160</xdr:colOff>
                    <xdr:row>21</xdr:row>
                    <xdr:rowOff>76200</xdr:rowOff>
                  </from>
                  <to>
                    <xdr:col>0</xdr:col>
                    <xdr:colOff>838200</xdr:colOff>
                    <xdr:row>25</xdr:row>
                    <xdr:rowOff>99060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3" tint="0.79998168889431442"/>
  </sheetPr>
  <dimension ref="A1:G11"/>
  <sheetViews>
    <sheetView showGridLines="0" showRowColHeaders="0" showRuler="0" view="pageLayout" zoomScaleNormal="100" workbookViewId="0">
      <selection activeCell="D5" sqref="D5"/>
    </sheetView>
  </sheetViews>
  <sheetFormatPr defaultColWidth="11.44140625" defaultRowHeight="13.2" x14ac:dyDescent="0.25"/>
  <cols>
    <col min="1" max="7" width="11.44140625" customWidth="1"/>
    <col min="8" max="8" width="12.88671875" customWidth="1"/>
  </cols>
  <sheetData>
    <row r="1" spans="1:7" ht="13.8" thickBot="1" x14ac:dyDescent="0.3"/>
    <row r="2" spans="1:7" ht="17.25" customHeight="1" thickBot="1" x14ac:dyDescent="0.4">
      <c r="A2" s="517"/>
      <c r="B2" s="518"/>
      <c r="C2" s="518"/>
      <c r="D2" s="518"/>
      <c r="E2" s="518"/>
      <c r="F2" s="518"/>
      <c r="G2" s="519"/>
    </row>
    <row r="3" spans="1:7" ht="13.8" thickBot="1" x14ac:dyDescent="0.3"/>
    <row r="4" spans="1:7" ht="13.8" thickBot="1" x14ac:dyDescent="0.3">
      <c r="A4" s="20" t="s">
        <v>562</v>
      </c>
      <c r="B4" s="7"/>
      <c r="C4" s="7"/>
      <c r="D4" s="7"/>
      <c r="E4" s="7"/>
      <c r="F4" s="7"/>
      <c r="G4" s="15"/>
    </row>
    <row r="5" spans="1:7" ht="13.8" thickBot="1" x14ac:dyDescent="0.3">
      <c r="A5" s="13"/>
      <c r="B5" s="14" t="s">
        <v>621</v>
      </c>
      <c r="C5" s="14"/>
      <c r="D5" s="14"/>
      <c r="E5" s="14"/>
      <c r="F5" s="14"/>
      <c r="G5" s="64">
        <f>'Maximum Rates'!D53</f>
        <v>85</v>
      </c>
    </row>
    <row r="6" spans="1:7" ht="13.8" thickBot="1" x14ac:dyDescent="0.3">
      <c r="A6" s="29"/>
      <c r="G6" s="28"/>
    </row>
    <row r="7" spans="1:7" ht="13.8" thickBot="1" x14ac:dyDescent="0.3">
      <c r="A7" s="20" t="s">
        <v>561</v>
      </c>
      <c r="B7" s="7"/>
      <c r="C7" s="7"/>
      <c r="D7" s="7"/>
      <c r="E7" s="7"/>
      <c r="F7" s="7"/>
      <c r="G7" s="15"/>
    </row>
    <row r="8" spans="1:7" ht="13.8" thickBot="1" x14ac:dyDescent="0.3">
      <c r="A8" s="13"/>
      <c r="B8" s="14" t="s">
        <v>620</v>
      </c>
      <c r="C8" s="14"/>
      <c r="D8" s="14"/>
      <c r="E8" s="14"/>
      <c r="F8" s="14"/>
      <c r="G8" s="64">
        <f>'Maximum Rates'!D54</f>
        <v>50</v>
      </c>
    </row>
    <row r="9" spans="1:7" ht="13.8" thickBot="1" x14ac:dyDescent="0.3"/>
    <row r="10" spans="1:7" ht="13.8" thickBot="1" x14ac:dyDescent="0.3">
      <c r="A10" s="20" t="s">
        <v>560</v>
      </c>
      <c r="B10" s="7"/>
      <c r="C10" s="7"/>
      <c r="D10" s="7"/>
      <c r="E10" s="7"/>
      <c r="F10" s="7"/>
      <c r="G10" s="15"/>
    </row>
    <row r="11" spans="1:7" ht="13.8" thickBot="1" x14ac:dyDescent="0.3">
      <c r="A11" s="13"/>
      <c r="B11" s="663"/>
      <c r="C11" s="14"/>
      <c r="D11" s="14"/>
      <c r="E11" s="14"/>
      <c r="F11" s="14"/>
      <c r="G11" s="64"/>
    </row>
  </sheetData>
  <sheetProtection algorithmName="SHA-512" hashValue="IkBMItcCq5wWGovLWbsR1HSWc/FAmxQO/k788XXf298FTAAqNyW24VnQPcKZnqY7X4Jw5nLmzonyzns/poCQ/g==" saltValue="gdFol0CYqnLXhceWLP96Zg==" spinCount="100000" sheet="1" objects="1" scenarios="1" selectLockedCells="1"/>
  <customSheetViews>
    <customSheetView guid="{BC429C65-53B8-4F97-88D2-74ECCD734800}" scale="80" showGridLines="0" showRowCol="0" state="hidden">
      <selection activeCell="D4" sqref="D4:L4"/>
      <pageMargins left="0.25" right="0.25" top="1" bottom="1" header="0.5" footer="0.5"/>
      <printOptions horizontalCentered="1"/>
      <pageSetup orientation="portrait" r:id="rId1"/>
      <headerFooter alignWithMargins="0"/>
    </customSheetView>
  </customSheetViews>
  <phoneticPr fontId="4" type="noConversion"/>
  <printOptions horizontalCentered="1"/>
  <pageMargins left="0.25" right="0.25" top="0.75" bottom="1" header="0.17" footer="0.5"/>
  <pageSetup orientation="portrait" r:id="rId2"/>
  <headerFooter alignWithMargins="0">
    <oddHeader xml:space="preserve">&amp;C&amp;18Postage and Shipping Rates
</oddHeader>
    <oddFooter xml:space="preserve">&amp;R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8">
    <tabColor theme="3" tint="0.79998168889431442"/>
  </sheetPr>
  <dimension ref="A1:J153"/>
  <sheetViews>
    <sheetView showGridLines="0" showRowColHeaders="0" showRuler="0" view="pageLayout" topLeftCell="A123" zoomScaleNormal="100" workbookViewId="0">
      <selection activeCell="J2" sqref="J2"/>
    </sheetView>
  </sheetViews>
  <sheetFormatPr defaultColWidth="6" defaultRowHeight="13.2" x14ac:dyDescent="0.25"/>
  <cols>
    <col min="1" max="10" width="9.88671875" customWidth="1"/>
  </cols>
  <sheetData>
    <row r="1" spans="1:10" ht="39.6" customHeight="1" thickBot="1" x14ac:dyDescent="0.3">
      <c r="A1" s="2225" t="s">
        <v>327</v>
      </c>
      <c r="B1" s="2226"/>
      <c r="C1" s="2226"/>
      <c r="D1" s="2227"/>
      <c r="E1" s="2231" t="s">
        <v>328</v>
      </c>
      <c r="F1" s="2233" t="s">
        <v>368</v>
      </c>
      <c r="G1" s="2235" t="s">
        <v>1017</v>
      </c>
      <c r="H1" s="2236"/>
      <c r="I1" s="2237" t="s">
        <v>537</v>
      </c>
      <c r="J1" s="2238"/>
    </row>
    <row r="2" spans="1:10" ht="30.6" customHeight="1" thickBot="1" x14ac:dyDescent="0.3">
      <c r="A2" s="2228"/>
      <c r="B2" s="2229"/>
      <c r="C2" s="2229"/>
      <c r="D2" s="2230"/>
      <c r="E2" s="2232"/>
      <c r="F2" s="2234"/>
      <c r="G2" s="32" t="s">
        <v>330</v>
      </c>
      <c r="H2" s="53" t="s">
        <v>331</v>
      </c>
      <c r="I2" s="507" t="s">
        <v>330</v>
      </c>
      <c r="J2" s="53" t="s">
        <v>331</v>
      </c>
    </row>
    <row r="3" spans="1:10" x14ac:dyDescent="0.25">
      <c r="A3" s="520" t="s">
        <v>332</v>
      </c>
      <c r="B3" s="664"/>
      <c r="C3" s="664"/>
      <c r="D3" s="521"/>
      <c r="E3" s="523">
        <f>'Maximum Rates'!$C$21</f>
        <v>28</v>
      </c>
      <c r="F3" s="524" t="s">
        <v>395</v>
      </c>
      <c r="G3" s="525"/>
      <c r="H3" s="526">
        <f>($E3)*G3</f>
        <v>0</v>
      </c>
      <c r="I3" s="527"/>
      <c r="J3" s="528">
        <f>($E3)*I3</f>
        <v>0</v>
      </c>
    </row>
    <row r="4" spans="1:10" x14ac:dyDescent="0.25">
      <c r="A4" s="508" t="s">
        <v>333</v>
      </c>
      <c r="B4" s="665"/>
      <c r="C4" s="665"/>
      <c r="D4" s="509"/>
      <c r="E4" s="37">
        <f>'Maximum Rates'!$C$22</f>
        <v>55</v>
      </c>
      <c r="F4" s="34" t="s">
        <v>395</v>
      </c>
      <c r="G4" s="35">
        <v>1</v>
      </c>
      <c r="H4" s="57">
        <f t="shared" ref="H4:H23" si="0">E4*G4</f>
        <v>55</v>
      </c>
      <c r="I4" s="56"/>
      <c r="J4" s="54">
        <f t="shared" ref="J4:J23" si="1">($E4)*I4</f>
        <v>0</v>
      </c>
    </row>
    <row r="5" spans="1:10" x14ac:dyDescent="0.25">
      <c r="A5" s="508" t="s">
        <v>270</v>
      </c>
      <c r="B5" s="665"/>
      <c r="C5" s="665"/>
      <c r="D5" s="509"/>
      <c r="E5" s="37">
        <f>'Maximum Rates'!$C$23</f>
        <v>11</v>
      </c>
      <c r="F5" s="34" t="s">
        <v>395</v>
      </c>
      <c r="G5" s="35"/>
      <c r="H5" s="57">
        <f t="shared" si="0"/>
        <v>0</v>
      </c>
      <c r="I5" s="56"/>
      <c r="J5" s="54">
        <f t="shared" si="1"/>
        <v>0</v>
      </c>
    </row>
    <row r="6" spans="1:10" x14ac:dyDescent="0.25">
      <c r="A6" s="508" t="s">
        <v>271</v>
      </c>
      <c r="B6" s="665"/>
      <c r="C6" s="665"/>
      <c r="D6" s="509"/>
      <c r="E6" s="37">
        <f>'Maximum Rates'!$C$24</f>
        <v>11</v>
      </c>
      <c r="F6" s="34" t="s">
        <v>395</v>
      </c>
      <c r="G6" s="35"/>
      <c r="H6" s="57">
        <f t="shared" si="0"/>
        <v>0</v>
      </c>
      <c r="I6" s="56"/>
      <c r="J6" s="54">
        <f t="shared" si="1"/>
        <v>0</v>
      </c>
    </row>
    <row r="7" spans="1:10" x14ac:dyDescent="0.25">
      <c r="A7" s="508" t="s">
        <v>272</v>
      </c>
      <c r="B7" s="665"/>
      <c r="C7" s="665"/>
      <c r="D7" s="509"/>
      <c r="E7" s="37">
        <f>'Maximum Rates'!$C$25</f>
        <v>11</v>
      </c>
      <c r="F7" s="34" t="s">
        <v>395</v>
      </c>
      <c r="G7" s="35"/>
      <c r="H7" s="57">
        <f t="shared" si="0"/>
        <v>0</v>
      </c>
      <c r="I7" s="56"/>
      <c r="J7" s="54">
        <f t="shared" si="1"/>
        <v>0</v>
      </c>
    </row>
    <row r="8" spans="1:10" x14ac:dyDescent="0.25">
      <c r="A8" s="508"/>
      <c r="B8" s="665"/>
      <c r="C8" s="665"/>
      <c r="D8" s="509"/>
      <c r="E8" s="37"/>
      <c r="F8" s="34" t="s">
        <v>395</v>
      </c>
      <c r="G8" s="35"/>
      <c r="H8" s="57">
        <f t="shared" si="0"/>
        <v>0</v>
      </c>
      <c r="I8" s="56"/>
      <c r="J8" s="54">
        <f t="shared" si="1"/>
        <v>0</v>
      </c>
    </row>
    <row r="9" spans="1:10" x14ac:dyDescent="0.25">
      <c r="A9" s="508" t="s">
        <v>79</v>
      </c>
      <c r="B9" s="665"/>
      <c r="C9" s="665"/>
      <c r="D9" s="509"/>
      <c r="E9" s="37">
        <f>'Maximum Rates'!$C$27</f>
        <v>28</v>
      </c>
      <c r="F9" s="34" t="s">
        <v>395</v>
      </c>
      <c r="G9" s="35"/>
      <c r="H9" s="57">
        <f t="shared" si="0"/>
        <v>0</v>
      </c>
      <c r="I9" s="56"/>
      <c r="J9" s="54">
        <f t="shared" si="1"/>
        <v>0</v>
      </c>
    </row>
    <row r="10" spans="1:10" x14ac:dyDescent="0.25">
      <c r="A10" s="510" t="s">
        <v>43</v>
      </c>
      <c r="B10" s="666"/>
      <c r="C10" s="666"/>
      <c r="D10" s="509"/>
      <c r="E10" s="37">
        <f>'Maximum Rates'!$C$28</f>
        <v>33</v>
      </c>
      <c r="F10" s="34" t="s">
        <v>395</v>
      </c>
      <c r="G10" s="35"/>
      <c r="H10" s="57">
        <f t="shared" si="0"/>
        <v>0</v>
      </c>
      <c r="I10" s="56"/>
      <c r="J10" s="54">
        <f t="shared" si="1"/>
        <v>0</v>
      </c>
    </row>
    <row r="11" spans="1:10" x14ac:dyDescent="0.25">
      <c r="A11" s="508" t="s">
        <v>273</v>
      </c>
      <c r="B11" s="665"/>
      <c r="C11" s="665"/>
      <c r="D11" s="509"/>
      <c r="E11" s="37">
        <f>'Maximum Rates'!$C$29</f>
        <v>110</v>
      </c>
      <c r="F11" s="34" t="s">
        <v>395</v>
      </c>
      <c r="G11" s="35"/>
      <c r="H11" s="57">
        <f t="shared" si="0"/>
        <v>0</v>
      </c>
      <c r="I11" s="56">
        <v>1</v>
      </c>
      <c r="J11" s="54">
        <f t="shared" si="1"/>
        <v>110</v>
      </c>
    </row>
    <row r="12" spans="1:10" x14ac:dyDescent="0.25">
      <c r="A12" s="508" t="s">
        <v>274</v>
      </c>
      <c r="B12" s="665"/>
      <c r="C12" s="665"/>
      <c r="D12" s="509"/>
      <c r="E12" s="37">
        <f>'Maximum Rates'!$C$30</f>
        <v>11</v>
      </c>
      <c r="F12" s="34" t="s">
        <v>395</v>
      </c>
      <c r="G12" s="35">
        <v>1</v>
      </c>
      <c r="H12" s="57">
        <f t="shared" si="0"/>
        <v>11</v>
      </c>
      <c r="I12" s="56">
        <v>1</v>
      </c>
      <c r="J12" s="54">
        <f t="shared" si="1"/>
        <v>11</v>
      </c>
    </row>
    <row r="13" spans="1:10" x14ac:dyDescent="0.25">
      <c r="A13" s="512" t="s">
        <v>700</v>
      </c>
      <c r="B13" s="667"/>
      <c r="C13" s="667"/>
      <c r="D13" s="509"/>
      <c r="E13" s="37">
        <f>'Maximum Rates'!$C$31</f>
        <v>11</v>
      </c>
      <c r="F13" s="34" t="s">
        <v>395</v>
      </c>
      <c r="G13" s="35"/>
      <c r="H13" s="57">
        <f t="shared" si="0"/>
        <v>0</v>
      </c>
      <c r="I13" s="56"/>
      <c r="J13" s="54">
        <f t="shared" si="1"/>
        <v>0</v>
      </c>
    </row>
    <row r="14" spans="1:10" x14ac:dyDescent="0.25">
      <c r="A14" s="512" t="s">
        <v>76</v>
      </c>
      <c r="B14" s="667"/>
      <c r="C14" s="667"/>
      <c r="D14" s="513"/>
      <c r="E14" s="37">
        <f>'Maximum Rates'!$C$38</f>
        <v>110</v>
      </c>
      <c r="F14" s="34" t="s">
        <v>395</v>
      </c>
      <c r="G14" s="35"/>
      <c r="H14" s="57">
        <f t="shared" si="0"/>
        <v>0</v>
      </c>
      <c r="I14" s="56"/>
      <c r="J14" s="54">
        <f t="shared" si="1"/>
        <v>0</v>
      </c>
    </row>
    <row r="15" spans="1:10" x14ac:dyDescent="0.25">
      <c r="A15" s="508" t="s">
        <v>275</v>
      </c>
      <c r="B15" s="665"/>
      <c r="C15" s="665"/>
      <c r="D15" s="509"/>
      <c r="E15" s="37">
        <f>'Maximum Rates'!$C$33</f>
        <v>11</v>
      </c>
      <c r="F15" s="34" t="s">
        <v>395</v>
      </c>
      <c r="G15" s="35"/>
      <c r="H15" s="57">
        <f t="shared" si="0"/>
        <v>0</v>
      </c>
      <c r="I15" s="56"/>
      <c r="J15" s="54">
        <f t="shared" si="1"/>
        <v>0</v>
      </c>
    </row>
    <row r="16" spans="1:10" x14ac:dyDescent="0.25">
      <c r="A16" s="512"/>
      <c r="B16" s="667"/>
      <c r="C16" s="667"/>
      <c r="D16" s="513"/>
      <c r="E16" s="37"/>
      <c r="F16" s="34" t="s">
        <v>395</v>
      </c>
      <c r="G16" s="35"/>
      <c r="H16" s="57">
        <f t="shared" si="0"/>
        <v>0</v>
      </c>
      <c r="I16" s="56"/>
      <c r="J16" s="54">
        <f t="shared" si="1"/>
        <v>0</v>
      </c>
    </row>
    <row r="17" spans="1:10" x14ac:dyDescent="0.25">
      <c r="A17" s="508" t="s">
        <v>276</v>
      </c>
      <c r="B17" s="665"/>
      <c r="C17" s="665"/>
      <c r="D17" s="509"/>
      <c r="E17" s="37">
        <f>'Maximum Rates'!$C$35</f>
        <v>11</v>
      </c>
      <c r="F17" s="34" t="s">
        <v>395</v>
      </c>
      <c r="G17" s="35"/>
      <c r="H17" s="57">
        <f t="shared" si="0"/>
        <v>0</v>
      </c>
      <c r="I17" s="56"/>
      <c r="J17" s="54">
        <f t="shared" si="1"/>
        <v>0</v>
      </c>
    </row>
    <row r="18" spans="1:10" x14ac:dyDescent="0.25">
      <c r="A18" s="512" t="s">
        <v>697</v>
      </c>
      <c r="B18" s="667"/>
      <c r="C18" s="667"/>
      <c r="D18" s="513"/>
      <c r="E18" s="37">
        <f>'Maximum Rates'!$C$26</f>
        <v>6</v>
      </c>
      <c r="F18" s="34" t="s">
        <v>395</v>
      </c>
      <c r="G18" s="35"/>
      <c r="H18" s="57">
        <f t="shared" si="0"/>
        <v>0</v>
      </c>
      <c r="I18" s="56"/>
      <c r="J18" s="54">
        <f t="shared" si="1"/>
        <v>0</v>
      </c>
    </row>
    <row r="19" spans="1:10" x14ac:dyDescent="0.25">
      <c r="A19" s="508" t="s">
        <v>278</v>
      </c>
      <c r="B19" s="665"/>
      <c r="C19" s="665"/>
      <c r="D19" s="509"/>
      <c r="E19" s="37">
        <f>'Maximum Rates'!$C$37</f>
        <v>11</v>
      </c>
      <c r="F19" s="34" t="s">
        <v>395</v>
      </c>
      <c r="G19" s="35"/>
      <c r="H19" s="57">
        <f t="shared" si="0"/>
        <v>0</v>
      </c>
      <c r="I19" s="56"/>
      <c r="J19" s="54">
        <f t="shared" si="1"/>
        <v>0</v>
      </c>
    </row>
    <row r="20" spans="1:10" x14ac:dyDescent="0.25">
      <c r="A20" s="508"/>
      <c r="B20" s="665"/>
      <c r="C20" s="665"/>
      <c r="D20" s="509"/>
      <c r="E20" s="37"/>
      <c r="F20" s="34" t="s">
        <v>395</v>
      </c>
      <c r="G20" s="35"/>
      <c r="H20" s="57">
        <f t="shared" si="0"/>
        <v>0</v>
      </c>
      <c r="I20" s="56"/>
      <c r="J20" s="54">
        <f t="shared" si="1"/>
        <v>0</v>
      </c>
    </row>
    <row r="21" spans="1:10" x14ac:dyDescent="0.25">
      <c r="A21" s="508" t="s">
        <v>279</v>
      </c>
      <c r="B21" s="665"/>
      <c r="C21" s="665"/>
      <c r="D21" s="509"/>
      <c r="E21" s="37">
        <f>'Maximum Rates'!$C$39</f>
        <v>11</v>
      </c>
      <c r="F21" s="34" t="s">
        <v>395</v>
      </c>
      <c r="G21" s="35"/>
      <c r="H21" s="57">
        <f t="shared" si="0"/>
        <v>0</v>
      </c>
      <c r="I21" s="56"/>
      <c r="J21" s="54">
        <f t="shared" si="1"/>
        <v>0</v>
      </c>
    </row>
    <row r="22" spans="1:10" x14ac:dyDescent="0.25">
      <c r="A22" s="508" t="s">
        <v>280</v>
      </c>
      <c r="B22" s="665"/>
      <c r="C22" s="665"/>
      <c r="D22" s="509"/>
      <c r="E22" s="37">
        <f>'Maximum Rates'!$C$40</f>
        <v>11</v>
      </c>
      <c r="F22" s="34" t="s">
        <v>395</v>
      </c>
      <c r="G22" s="35"/>
      <c r="H22" s="57">
        <f t="shared" si="0"/>
        <v>0</v>
      </c>
      <c r="I22" s="56"/>
      <c r="J22" s="54">
        <f t="shared" si="1"/>
        <v>0</v>
      </c>
    </row>
    <row r="23" spans="1:10" x14ac:dyDescent="0.25">
      <c r="A23" s="508"/>
      <c r="B23" s="665"/>
      <c r="C23" s="665"/>
      <c r="D23" s="509"/>
      <c r="E23" s="37"/>
      <c r="F23" s="34" t="s">
        <v>395</v>
      </c>
      <c r="G23" s="35"/>
      <c r="H23" s="57">
        <f t="shared" si="0"/>
        <v>0</v>
      </c>
      <c r="I23" s="56"/>
      <c r="J23" s="54">
        <f t="shared" si="1"/>
        <v>0</v>
      </c>
    </row>
    <row r="24" spans="1:10" x14ac:dyDescent="0.25">
      <c r="A24" s="505"/>
      <c r="B24" s="668"/>
      <c r="C24" s="668"/>
      <c r="D24" s="506"/>
      <c r="E24" s="69"/>
      <c r="F24" s="70"/>
      <c r="G24" s="71"/>
      <c r="H24" s="72"/>
      <c r="I24" s="73"/>
      <c r="J24" s="74"/>
    </row>
    <row r="25" spans="1:10" x14ac:dyDescent="0.25">
      <c r="A25" s="505"/>
      <c r="B25" s="668"/>
      <c r="C25" s="668"/>
      <c r="D25" s="506"/>
      <c r="E25" s="69"/>
      <c r="F25" s="70"/>
      <c r="G25" s="71"/>
      <c r="H25" s="72"/>
      <c r="I25" s="73"/>
      <c r="J25" s="74"/>
    </row>
    <row r="26" spans="1:10" x14ac:dyDescent="0.25">
      <c r="A26" s="505"/>
      <c r="B26" s="668"/>
      <c r="C26" s="668"/>
      <c r="D26" s="506"/>
      <c r="E26" s="69"/>
      <c r="F26" s="70"/>
      <c r="G26" s="71"/>
      <c r="H26" s="72"/>
      <c r="I26" s="73"/>
      <c r="J26" s="74"/>
    </row>
    <row r="27" spans="1:10" ht="13.8" thickBot="1" x14ac:dyDescent="0.3">
      <c r="A27" s="505"/>
      <c r="B27" s="668"/>
      <c r="C27" s="668"/>
      <c r="D27" s="506"/>
      <c r="E27" s="69"/>
      <c r="F27" s="70"/>
      <c r="G27" s="71"/>
      <c r="H27" s="72"/>
      <c r="I27" s="73"/>
      <c r="J27" s="74"/>
    </row>
    <row r="28" spans="1:10" ht="16.2" thickBot="1" x14ac:dyDescent="0.35">
      <c r="A28" s="522"/>
      <c r="B28" s="669"/>
      <c r="C28" s="669"/>
      <c r="D28" s="529" t="s">
        <v>331</v>
      </c>
      <c r="E28" s="55"/>
      <c r="F28" s="533"/>
      <c r="G28" s="534"/>
      <c r="H28" s="38">
        <f>SUM(H3:H27)</f>
        <v>66</v>
      </c>
      <c r="I28" s="530"/>
      <c r="J28" s="38">
        <f>SUM(J3:J27)</f>
        <v>121</v>
      </c>
    </row>
    <row r="29" spans="1:10" ht="19.2" customHeight="1" thickBot="1" x14ac:dyDescent="0.3"/>
    <row r="30" spans="1:10" ht="19.2" customHeight="1" thickBot="1" x14ac:dyDescent="0.3">
      <c r="A30" s="2239" t="s">
        <v>327</v>
      </c>
      <c r="B30" s="2240"/>
      <c r="C30" s="2240"/>
      <c r="D30" s="2241"/>
      <c r="E30" s="2245" t="s">
        <v>328</v>
      </c>
      <c r="F30" s="2247" t="s">
        <v>368</v>
      </c>
      <c r="G30" s="2249" t="s">
        <v>329</v>
      </c>
      <c r="H30" s="2250"/>
      <c r="I30" s="2249" t="s">
        <v>538</v>
      </c>
      <c r="J30" s="2250"/>
    </row>
    <row r="31" spans="1:10" ht="15.6" customHeight="1" thickBot="1" x14ac:dyDescent="0.3">
      <c r="A31" s="2242"/>
      <c r="B31" s="2243"/>
      <c r="C31" s="2243"/>
      <c r="D31" s="2244"/>
      <c r="E31" s="2246"/>
      <c r="F31" s="2248"/>
      <c r="G31" s="32" t="s">
        <v>330</v>
      </c>
      <c r="H31" s="53" t="s">
        <v>331</v>
      </c>
      <c r="I31" s="507" t="s">
        <v>330</v>
      </c>
      <c r="J31" s="53" t="s">
        <v>331</v>
      </c>
    </row>
    <row r="32" spans="1:10" x14ac:dyDescent="0.25">
      <c r="A32" s="520" t="s">
        <v>332</v>
      </c>
      <c r="B32" s="664"/>
      <c r="C32" s="664"/>
      <c r="D32" s="521"/>
      <c r="E32" s="523">
        <f>'Maximum Rates'!$C$21</f>
        <v>28</v>
      </c>
      <c r="F32" s="524" t="s">
        <v>395</v>
      </c>
      <c r="G32" s="525"/>
      <c r="H32" s="526">
        <f>($E32)*G32</f>
        <v>0</v>
      </c>
      <c r="I32" s="527"/>
      <c r="J32" s="528">
        <f>($E32)*I32</f>
        <v>0</v>
      </c>
    </row>
    <row r="33" spans="1:10" x14ac:dyDescent="0.25">
      <c r="A33" s="508" t="s">
        <v>333</v>
      </c>
      <c r="B33" s="665"/>
      <c r="C33" s="665"/>
      <c r="D33" s="509"/>
      <c r="E33" s="37">
        <f>'Maximum Rates'!$C$22</f>
        <v>55</v>
      </c>
      <c r="F33" s="34" t="s">
        <v>395</v>
      </c>
      <c r="G33" s="35"/>
      <c r="H33" s="58">
        <f t="shared" ref="H33:H52" si="2">($E33)*G33</f>
        <v>0</v>
      </c>
      <c r="I33" s="56"/>
      <c r="J33" s="54">
        <f t="shared" ref="J33:J52" si="3">($E33)*I33</f>
        <v>0</v>
      </c>
    </row>
    <row r="34" spans="1:10" x14ac:dyDescent="0.25">
      <c r="A34" s="508" t="s">
        <v>270</v>
      </c>
      <c r="B34" s="665"/>
      <c r="C34" s="665"/>
      <c r="D34" s="509"/>
      <c r="E34" s="37">
        <f>'Maximum Rates'!$C$23</f>
        <v>11</v>
      </c>
      <c r="F34" s="34" t="s">
        <v>395</v>
      </c>
      <c r="G34" s="35"/>
      <c r="H34" s="58">
        <f t="shared" si="2"/>
        <v>0</v>
      </c>
      <c r="I34" s="56"/>
      <c r="J34" s="54">
        <f t="shared" si="3"/>
        <v>0</v>
      </c>
    </row>
    <row r="35" spans="1:10" x14ac:dyDescent="0.25">
      <c r="A35" s="508" t="s">
        <v>271</v>
      </c>
      <c r="B35" s="665"/>
      <c r="C35" s="665"/>
      <c r="D35" s="509"/>
      <c r="E35" s="37">
        <f>'Maximum Rates'!$C$24</f>
        <v>11</v>
      </c>
      <c r="F35" s="34" t="s">
        <v>395</v>
      </c>
      <c r="G35" s="35"/>
      <c r="H35" s="58">
        <f t="shared" si="2"/>
        <v>0</v>
      </c>
      <c r="I35" s="56"/>
      <c r="J35" s="54">
        <f t="shared" si="3"/>
        <v>0</v>
      </c>
    </row>
    <row r="36" spans="1:10" x14ac:dyDescent="0.25">
      <c r="A36" s="508" t="s">
        <v>272</v>
      </c>
      <c r="B36" s="665"/>
      <c r="C36" s="665"/>
      <c r="D36" s="509"/>
      <c r="E36" s="37">
        <f>'Maximum Rates'!$C$25</f>
        <v>11</v>
      </c>
      <c r="F36" s="34" t="s">
        <v>395</v>
      </c>
      <c r="G36" s="35"/>
      <c r="H36" s="58">
        <f t="shared" si="2"/>
        <v>0</v>
      </c>
      <c r="I36" s="56"/>
      <c r="J36" s="54">
        <f t="shared" si="3"/>
        <v>0</v>
      </c>
    </row>
    <row r="37" spans="1:10" x14ac:dyDescent="0.25">
      <c r="A37" s="508"/>
      <c r="B37" s="665"/>
      <c r="C37" s="665"/>
      <c r="D37" s="509"/>
      <c r="E37" s="37"/>
      <c r="F37" s="34" t="s">
        <v>395</v>
      </c>
      <c r="G37" s="35"/>
      <c r="H37" s="58">
        <f t="shared" si="2"/>
        <v>0</v>
      </c>
      <c r="I37" s="56"/>
      <c r="J37" s="54">
        <f t="shared" si="3"/>
        <v>0</v>
      </c>
    </row>
    <row r="38" spans="1:10" x14ac:dyDescent="0.25">
      <c r="A38" s="508" t="s">
        <v>79</v>
      </c>
      <c r="B38" s="665"/>
      <c r="C38" s="665"/>
      <c r="D38" s="509"/>
      <c r="E38" s="37">
        <f>'Maximum Rates'!$C$27</f>
        <v>28</v>
      </c>
      <c r="F38" s="34" t="s">
        <v>395</v>
      </c>
      <c r="G38" s="35">
        <v>1</v>
      </c>
      <c r="H38" s="58">
        <f t="shared" si="2"/>
        <v>28</v>
      </c>
      <c r="I38" s="56">
        <v>1</v>
      </c>
      <c r="J38" s="54">
        <f t="shared" si="3"/>
        <v>28</v>
      </c>
    </row>
    <row r="39" spans="1:10" x14ac:dyDescent="0.25">
      <c r="A39" s="510" t="s">
        <v>43</v>
      </c>
      <c r="B39" s="666"/>
      <c r="C39" s="666"/>
      <c r="D39" s="509"/>
      <c r="E39" s="37">
        <f>'Maximum Rates'!$C$28</f>
        <v>33</v>
      </c>
      <c r="F39" s="34" t="s">
        <v>395</v>
      </c>
      <c r="G39" s="35">
        <v>1</v>
      </c>
      <c r="H39" s="58">
        <f t="shared" si="2"/>
        <v>33</v>
      </c>
      <c r="I39" s="56">
        <v>1</v>
      </c>
      <c r="J39" s="54">
        <f t="shared" si="3"/>
        <v>33</v>
      </c>
    </row>
    <row r="40" spans="1:10" x14ac:dyDescent="0.25">
      <c r="A40" s="508" t="s">
        <v>273</v>
      </c>
      <c r="B40" s="665"/>
      <c r="C40" s="665"/>
      <c r="D40" s="509"/>
      <c r="E40" s="37">
        <f>'Maximum Rates'!$C$29</f>
        <v>110</v>
      </c>
      <c r="F40" s="34" t="s">
        <v>395</v>
      </c>
      <c r="G40" s="35"/>
      <c r="H40" s="58">
        <f t="shared" si="2"/>
        <v>0</v>
      </c>
      <c r="I40" s="56">
        <v>1</v>
      </c>
      <c r="J40" s="54">
        <f t="shared" si="3"/>
        <v>110</v>
      </c>
    </row>
    <row r="41" spans="1:10" x14ac:dyDescent="0.25">
      <c r="A41" s="508" t="s">
        <v>274</v>
      </c>
      <c r="B41" s="665"/>
      <c r="C41" s="665"/>
      <c r="D41" s="509"/>
      <c r="E41" s="37">
        <f>'Maximum Rates'!$C$30</f>
        <v>11</v>
      </c>
      <c r="F41" s="34" t="s">
        <v>395</v>
      </c>
      <c r="G41" s="35">
        <v>1</v>
      </c>
      <c r="H41" s="58">
        <f t="shared" si="2"/>
        <v>11</v>
      </c>
      <c r="I41" s="56">
        <v>1</v>
      </c>
      <c r="J41" s="54">
        <f t="shared" si="3"/>
        <v>11</v>
      </c>
    </row>
    <row r="42" spans="1:10" x14ac:dyDescent="0.25">
      <c r="A42" s="512" t="s">
        <v>700</v>
      </c>
      <c r="B42" s="667"/>
      <c r="C42" s="667"/>
      <c r="D42" s="509"/>
      <c r="E42" s="37">
        <f>'Maximum Rates'!$C$31</f>
        <v>11</v>
      </c>
      <c r="F42" s="34" t="s">
        <v>395</v>
      </c>
      <c r="G42" s="35"/>
      <c r="H42" s="58">
        <f t="shared" si="2"/>
        <v>0</v>
      </c>
      <c r="I42" s="56"/>
      <c r="J42" s="54">
        <f t="shared" si="3"/>
        <v>0</v>
      </c>
    </row>
    <row r="43" spans="1:10" x14ac:dyDescent="0.25">
      <c r="A43" s="512" t="s">
        <v>76</v>
      </c>
      <c r="B43" s="667"/>
      <c r="C43" s="667"/>
      <c r="D43" s="513"/>
      <c r="E43" s="37">
        <f>'Maximum Rates'!$C$38</f>
        <v>110</v>
      </c>
      <c r="F43" s="34" t="s">
        <v>395</v>
      </c>
      <c r="G43" s="35"/>
      <c r="H43" s="58">
        <f t="shared" si="2"/>
        <v>0</v>
      </c>
      <c r="I43" s="56"/>
      <c r="J43" s="54">
        <f t="shared" si="3"/>
        <v>0</v>
      </c>
    </row>
    <row r="44" spans="1:10" x14ac:dyDescent="0.25">
      <c r="A44" s="508" t="s">
        <v>275</v>
      </c>
      <c r="B44" s="665"/>
      <c r="C44" s="665"/>
      <c r="D44" s="509"/>
      <c r="E44" s="37">
        <f>'Maximum Rates'!$C$33</f>
        <v>11</v>
      </c>
      <c r="F44" s="34" t="s">
        <v>395</v>
      </c>
      <c r="G44" s="35"/>
      <c r="H44" s="58">
        <f t="shared" si="2"/>
        <v>0</v>
      </c>
      <c r="I44" s="56"/>
      <c r="J44" s="54">
        <f t="shared" si="3"/>
        <v>0</v>
      </c>
    </row>
    <row r="45" spans="1:10" x14ac:dyDescent="0.25">
      <c r="A45" s="514"/>
      <c r="B45" s="539"/>
      <c r="C45" s="539"/>
      <c r="D45" s="515"/>
      <c r="E45" s="37"/>
      <c r="F45" s="34" t="s">
        <v>395</v>
      </c>
      <c r="G45" s="35"/>
      <c r="H45" s="58">
        <f t="shared" si="2"/>
        <v>0</v>
      </c>
      <c r="I45" s="56"/>
      <c r="J45" s="54">
        <f t="shared" si="3"/>
        <v>0</v>
      </c>
    </row>
    <row r="46" spans="1:10" x14ac:dyDescent="0.25">
      <c r="A46" s="508" t="s">
        <v>276</v>
      </c>
      <c r="B46" s="665"/>
      <c r="C46" s="665"/>
      <c r="D46" s="509"/>
      <c r="E46" s="37">
        <f>'Maximum Rates'!$C$35</f>
        <v>11</v>
      </c>
      <c r="F46" s="34" t="s">
        <v>395</v>
      </c>
      <c r="G46" s="35"/>
      <c r="H46" s="58">
        <f t="shared" si="2"/>
        <v>0</v>
      </c>
      <c r="I46" s="56"/>
      <c r="J46" s="54">
        <f t="shared" si="3"/>
        <v>0</v>
      </c>
    </row>
    <row r="47" spans="1:10" x14ac:dyDescent="0.25">
      <c r="A47" s="512" t="s">
        <v>697</v>
      </c>
      <c r="B47" s="667"/>
      <c r="C47" s="667"/>
      <c r="D47" s="513"/>
      <c r="E47" s="37">
        <f>'Maximum Rates'!$C$26</f>
        <v>6</v>
      </c>
      <c r="F47" s="34" t="s">
        <v>395</v>
      </c>
      <c r="G47" s="35"/>
      <c r="H47" s="58">
        <f t="shared" si="2"/>
        <v>0</v>
      </c>
      <c r="I47" s="56"/>
      <c r="J47" s="54">
        <f t="shared" si="3"/>
        <v>0</v>
      </c>
    </row>
    <row r="48" spans="1:10" x14ac:dyDescent="0.25">
      <c r="A48" s="508" t="s">
        <v>278</v>
      </c>
      <c r="B48" s="665"/>
      <c r="C48" s="665"/>
      <c r="D48" s="509"/>
      <c r="E48" s="37">
        <f>'Maximum Rates'!$C$37</f>
        <v>11</v>
      </c>
      <c r="F48" s="34" t="s">
        <v>395</v>
      </c>
      <c r="G48" s="35"/>
      <c r="H48" s="58">
        <f t="shared" si="2"/>
        <v>0</v>
      </c>
      <c r="I48" s="56"/>
      <c r="J48" s="54">
        <f t="shared" si="3"/>
        <v>0</v>
      </c>
    </row>
    <row r="49" spans="1:10" x14ac:dyDescent="0.25">
      <c r="A49" s="508"/>
      <c r="B49" s="665"/>
      <c r="C49" s="665"/>
      <c r="D49" s="509"/>
      <c r="E49" s="37"/>
      <c r="F49" s="34" t="s">
        <v>395</v>
      </c>
      <c r="G49" s="35"/>
      <c r="H49" s="58">
        <f t="shared" si="2"/>
        <v>0</v>
      </c>
      <c r="I49" s="56"/>
      <c r="J49" s="54">
        <f t="shared" si="3"/>
        <v>0</v>
      </c>
    </row>
    <row r="50" spans="1:10" x14ac:dyDescent="0.25">
      <c r="A50" s="508" t="s">
        <v>279</v>
      </c>
      <c r="B50" s="665"/>
      <c r="C50" s="665"/>
      <c r="D50" s="509"/>
      <c r="E50" s="37">
        <f>'Maximum Rates'!$C$39</f>
        <v>11</v>
      </c>
      <c r="F50" s="34" t="s">
        <v>395</v>
      </c>
      <c r="G50" s="35"/>
      <c r="H50" s="58">
        <f t="shared" si="2"/>
        <v>0</v>
      </c>
      <c r="I50" s="56"/>
      <c r="J50" s="54">
        <f t="shared" si="3"/>
        <v>0</v>
      </c>
    </row>
    <row r="51" spans="1:10" x14ac:dyDescent="0.25">
      <c r="A51" s="508" t="s">
        <v>280</v>
      </c>
      <c r="B51" s="665"/>
      <c r="C51" s="665"/>
      <c r="D51" s="509"/>
      <c r="E51" s="37">
        <f>'Maximum Rates'!$C$40</f>
        <v>11</v>
      </c>
      <c r="F51" s="34" t="s">
        <v>395</v>
      </c>
      <c r="G51" s="35"/>
      <c r="H51" s="58">
        <f t="shared" si="2"/>
        <v>0</v>
      </c>
      <c r="I51" s="56"/>
      <c r="J51" s="54">
        <f t="shared" si="3"/>
        <v>0</v>
      </c>
    </row>
    <row r="52" spans="1:10" ht="13.8" thickBot="1" x14ac:dyDescent="0.3">
      <c r="A52" s="508"/>
      <c r="B52" s="665"/>
      <c r="C52" s="665"/>
      <c r="D52" s="509"/>
      <c r="E52" s="37"/>
      <c r="F52" s="34" t="s">
        <v>395</v>
      </c>
      <c r="G52" s="35"/>
      <c r="H52" s="58">
        <f t="shared" si="2"/>
        <v>0</v>
      </c>
      <c r="I52" s="56"/>
      <c r="J52" s="54">
        <f t="shared" si="3"/>
        <v>0</v>
      </c>
    </row>
    <row r="53" spans="1:10" ht="16.2" thickBot="1" x14ac:dyDescent="0.35">
      <c r="A53" s="522"/>
      <c r="B53" s="669"/>
      <c r="C53" s="669"/>
      <c r="D53" s="529" t="s">
        <v>331</v>
      </c>
      <c r="E53" s="55"/>
      <c r="F53" s="533"/>
      <c r="G53" s="534"/>
      <c r="H53" s="38">
        <f>SUM(H32:H52)</f>
        <v>72</v>
      </c>
      <c r="I53" s="530"/>
      <c r="J53" s="38">
        <f>SUM(J32:J52)</f>
        <v>182</v>
      </c>
    </row>
    <row r="54" spans="1:10" ht="30.6" customHeight="1" thickBot="1" x14ac:dyDescent="0.3">
      <c r="A54" s="2251" t="s">
        <v>327</v>
      </c>
      <c r="B54" s="2252"/>
      <c r="C54" s="2252"/>
      <c r="D54" s="2253"/>
      <c r="E54" s="2245" t="s">
        <v>328</v>
      </c>
      <c r="F54" s="2247" t="s">
        <v>368</v>
      </c>
      <c r="G54" s="2249" t="s">
        <v>539</v>
      </c>
      <c r="H54" s="2250"/>
      <c r="I54" s="2249" t="s">
        <v>540</v>
      </c>
      <c r="J54" s="2250"/>
    </row>
    <row r="55" spans="1:10" ht="30.6" customHeight="1" thickBot="1" x14ac:dyDescent="0.3">
      <c r="A55" s="2254"/>
      <c r="B55" s="2255"/>
      <c r="C55" s="2255"/>
      <c r="D55" s="2256"/>
      <c r="E55" s="2246"/>
      <c r="F55" s="2248"/>
      <c r="G55" s="32" t="s">
        <v>330</v>
      </c>
      <c r="H55" s="53" t="s">
        <v>331</v>
      </c>
      <c r="I55" s="507" t="s">
        <v>330</v>
      </c>
      <c r="J55" s="53" t="s">
        <v>331</v>
      </c>
    </row>
    <row r="56" spans="1:10" x14ac:dyDescent="0.25">
      <c r="A56" s="520" t="s">
        <v>332</v>
      </c>
      <c r="B56" s="664"/>
      <c r="C56" s="664"/>
      <c r="D56" s="521"/>
      <c r="E56" s="523">
        <f>'Maximum Rates'!$C$21</f>
        <v>28</v>
      </c>
      <c r="F56" s="524" t="s">
        <v>395</v>
      </c>
      <c r="G56" s="525"/>
      <c r="H56" s="526">
        <f>($E56)*G56</f>
        <v>0</v>
      </c>
      <c r="I56" s="527"/>
      <c r="J56" s="528">
        <f>($E56)*I56</f>
        <v>0</v>
      </c>
    </row>
    <row r="57" spans="1:10" x14ac:dyDescent="0.25">
      <c r="A57" s="508" t="s">
        <v>333</v>
      </c>
      <c r="B57" s="665"/>
      <c r="C57" s="665"/>
      <c r="D57" s="509"/>
      <c r="E57" s="37">
        <f>'Maximum Rates'!$C$22</f>
        <v>55</v>
      </c>
      <c r="F57" s="34" t="s">
        <v>395</v>
      </c>
      <c r="G57" s="35">
        <v>1</v>
      </c>
      <c r="H57" s="58">
        <f t="shared" ref="H57:H76" si="4">($E57)*G57</f>
        <v>55</v>
      </c>
      <c r="I57" s="56">
        <v>1</v>
      </c>
      <c r="J57" s="54">
        <f t="shared" ref="J57:J76" si="5">($E57)*I57</f>
        <v>55</v>
      </c>
    </row>
    <row r="58" spans="1:10" x14ac:dyDescent="0.25">
      <c r="A58" s="508" t="s">
        <v>270</v>
      </c>
      <c r="B58" s="665"/>
      <c r="C58" s="665"/>
      <c r="D58" s="509"/>
      <c r="E58" s="37">
        <f>'Maximum Rates'!$C$23</f>
        <v>11</v>
      </c>
      <c r="F58" s="34" t="s">
        <v>395</v>
      </c>
      <c r="G58" s="35"/>
      <c r="H58" s="58">
        <f t="shared" si="4"/>
        <v>0</v>
      </c>
      <c r="I58" s="56"/>
      <c r="J58" s="54">
        <f t="shared" si="5"/>
        <v>0</v>
      </c>
    </row>
    <row r="59" spans="1:10" x14ac:dyDescent="0.25">
      <c r="A59" s="508" t="s">
        <v>271</v>
      </c>
      <c r="B59" s="665"/>
      <c r="C59" s="665"/>
      <c r="D59" s="509"/>
      <c r="E59" s="37">
        <f>'Maximum Rates'!$C$24</f>
        <v>11</v>
      </c>
      <c r="F59" s="34" t="s">
        <v>395</v>
      </c>
      <c r="G59" s="35"/>
      <c r="H59" s="58">
        <f t="shared" si="4"/>
        <v>0</v>
      </c>
      <c r="I59" s="56">
        <v>1</v>
      </c>
      <c r="J59" s="54">
        <f t="shared" si="5"/>
        <v>11</v>
      </c>
    </row>
    <row r="60" spans="1:10" x14ac:dyDescent="0.25">
      <c r="A60" s="508" t="s">
        <v>272</v>
      </c>
      <c r="B60" s="665"/>
      <c r="C60" s="665"/>
      <c r="D60" s="509"/>
      <c r="E60" s="37">
        <f>'Maximum Rates'!$C$25</f>
        <v>11</v>
      </c>
      <c r="F60" s="34" t="s">
        <v>395</v>
      </c>
      <c r="G60" s="35"/>
      <c r="H60" s="58">
        <f t="shared" si="4"/>
        <v>0</v>
      </c>
      <c r="I60" s="56"/>
      <c r="J60" s="54">
        <f t="shared" si="5"/>
        <v>0</v>
      </c>
    </row>
    <row r="61" spans="1:10" x14ac:dyDescent="0.25">
      <c r="A61" s="508"/>
      <c r="B61" s="665"/>
      <c r="C61" s="665"/>
      <c r="D61" s="509"/>
      <c r="E61" s="37"/>
      <c r="F61" s="34" t="s">
        <v>395</v>
      </c>
      <c r="G61" s="35"/>
      <c r="H61" s="58">
        <f t="shared" si="4"/>
        <v>0</v>
      </c>
      <c r="I61" s="56"/>
      <c r="J61" s="54">
        <f t="shared" si="5"/>
        <v>0</v>
      </c>
    </row>
    <row r="62" spans="1:10" x14ac:dyDescent="0.25">
      <c r="A62" s="508" t="s">
        <v>79</v>
      </c>
      <c r="B62" s="665"/>
      <c r="C62" s="665"/>
      <c r="D62" s="509"/>
      <c r="E62" s="37">
        <f>'Maximum Rates'!$C$27</f>
        <v>28</v>
      </c>
      <c r="F62" s="34" t="s">
        <v>395</v>
      </c>
      <c r="G62" s="35"/>
      <c r="H62" s="58">
        <f t="shared" si="4"/>
        <v>0</v>
      </c>
      <c r="I62" s="56"/>
      <c r="J62" s="54">
        <f t="shared" si="5"/>
        <v>0</v>
      </c>
    </row>
    <row r="63" spans="1:10" x14ac:dyDescent="0.25">
      <c r="A63" s="510" t="s">
        <v>43</v>
      </c>
      <c r="B63" s="666"/>
      <c r="C63" s="666"/>
      <c r="D63" s="509"/>
      <c r="E63" s="37">
        <f>'Maximum Rates'!$C$28</f>
        <v>33</v>
      </c>
      <c r="F63" s="34" t="s">
        <v>395</v>
      </c>
      <c r="G63" s="35"/>
      <c r="H63" s="58">
        <f t="shared" si="4"/>
        <v>0</v>
      </c>
      <c r="I63" s="56"/>
      <c r="J63" s="54">
        <f t="shared" si="5"/>
        <v>0</v>
      </c>
    </row>
    <row r="64" spans="1:10" x14ac:dyDescent="0.25">
      <c r="A64" s="508" t="s">
        <v>273</v>
      </c>
      <c r="B64" s="665"/>
      <c r="C64" s="665"/>
      <c r="D64" s="509"/>
      <c r="E64" s="37">
        <f>'Maximum Rates'!$C$29</f>
        <v>110</v>
      </c>
      <c r="F64" s="34" t="s">
        <v>395</v>
      </c>
      <c r="G64" s="35"/>
      <c r="H64" s="58">
        <f t="shared" si="4"/>
        <v>0</v>
      </c>
      <c r="I64" s="56"/>
      <c r="J64" s="54">
        <f t="shared" si="5"/>
        <v>0</v>
      </c>
    </row>
    <row r="65" spans="1:10" x14ac:dyDescent="0.25">
      <c r="A65" s="508" t="s">
        <v>274</v>
      </c>
      <c r="B65" s="665"/>
      <c r="C65" s="665"/>
      <c r="D65" s="509"/>
      <c r="E65" s="37">
        <f>'Maximum Rates'!$C$30</f>
        <v>11</v>
      </c>
      <c r="F65" s="34" t="s">
        <v>395</v>
      </c>
      <c r="G65" s="35">
        <v>1</v>
      </c>
      <c r="H65" s="58">
        <f t="shared" si="4"/>
        <v>11</v>
      </c>
      <c r="I65" s="56">
        <v>1</v>
      </c>
      <c r="J65" s="54">
        <f t="shared" si="5"/>
        <v>11</v>
      </c>
    </row>
    <row r="66" spans="1:10" x14ac:dyDescent="0.25">
      <c r="A66" s="512" t="s">
        <v>700</v>
      </c>
      <c r="B66" s="667"/>
      <c r="C66" s="667"/>
      <c r="D66" s="509"/>
      <c r="E66" s="37">
        <f>'Maximum Rates'!$C$31</f>
        <v>11</v>
      </c>
      <c r="F66" s="34" t="s">
        <v>395</v>
      </c>
      <c r="G66" s="35"/>
      <c r="H66" s="58">
        <f t="shared" si="4"/>
        <v>0</v>
      </c>
      <c r="I66" s="56"/>
      <c r="J66" s="54">
        <f t="shared" si="5"/>
        <v>0</v>
      </c>
    </row>
    <row r="67" spans="1:10" x14ac:dyDescent="0.25">
      <c r="A67" s="512" t="s">
        <v>76</v>
      </c>
      <c r="B67" s="667"/>
      <c r="C67" s="667"/>
      <c r="D67" s="513"/>
      <c r="E67" s="37">
        <f>'Maximum Rates'!$C$38</f>
        <v>110</v>
      </c>
      <c r="F67" s="34" t="s">
        <v>395</v>
      </c>
      <c r="G67" s="35">
        <v>1</v>
      </c>
      <c r="H67" s="58">
        <f t="shared" si="4"/>
        <v>110</v>
      </c>
      <c r="I67" s="56"/>
      <c r="J67" s="54">
        <f t="shared" si="5"/>
        <v>0</v>
      </c>
    </row>
    <row r="68" spans="1:10" x14ac:dyDescent="0.25">
      <c r="A68" s="508" t="s">
        <v>275</v>
      </c>
      <c r="B68" s="665"/>
      <c r="C68" s="665"/>
      <c r="D68" s="509"/>
      <c r="E68" s="37">
        <f>'Maximum Rates'!$C$33</f>
        <v>11</v>
      </c>
      <c r="F68" s="34" t="s">
        <v>395</v>
      </c>
      <c r="G68" s="35"/>
      <c r="H68" s="58">
        <f t="shared" si="4"/>
        <v>0</v>
      </c>
      <c r="I68" s="56"/>
      <c r="J68" s="54">
        <f t="shared" si="5"/>
        <v>0</v>
      </c>
    </row>
    <row r="69" spans="1:10" x14ac:dyDescent="0.25">
      <c r="A69" s="514"/>
      <c r="B69" s="539"/>
      <c r="C69" s="539"/>
      <c r="D69" s="515"/>
      <c r="E69" s="37"/>
      <c r="F69" s="34" t="s">
        <v>395</v>
      </c>
      <c r="G69" s="35"/>
      <c r="H69" s="58">
        <f t="shared" si="4"/>
        <v>0</v>
      </c>
      <c r="I69" s="56"/>
      <c r="J69" s="54">
        <f t="shared" si="5"/>
        <v>0</v>
      </c>
    </row>
    <row r="70" spans="1:10" x14ac:dyDescent="0.25">
      <c r="A70" s="508" t="s">
        <v>276</v>
      </c>
      <c r="B70" s="665"/>
      <c r="C70" s="665"/>
      <c r="D70" s="509"/>
      <c r="E70" s="37">
        <f>'Maximum Rates'!$C$35</f>
        <v>11</v>
      </c>
      <c r="F70" s="34" t="s">
        <v>395</v>
      </c>
      <c r="G70" s="35"/>
      <c r="H70" s="58">
        <f t="shared" si="4"/>
        <v>0</v>
      </c>
      <c r="I70" s="56"/>
      <c r="J70" s="54">
        <f t="shared" si="5"/>
        <v>0</v>
      </c>
    </row>
    <row r="71" spans="1:10" x14ac:dyDescent="0.25">
      <c r="A71" s="512" t="s">
        <v>697</v>
      </c>
      <c r="B71" s="667"/>
      <c r="C71" s="667"/>
      <c r="D71" s="513"/>
      <c r="E71" s="37">
        <f>'Maximum Rates'!$C$26</f>
        <v>6</v>
      </c>
      <c r="F71" s="34" t="s">
        <v>395</v>
      </c>
      <c r="G71" s="35"/>
      <c r="H71" s="58">
        <f t="shared" si="4"/>
        <v>0</v>
      </c>
      <c r="I71" s="56"/>
      <c r="J71" s="54">
        <f t="shared" si="5"/>
        <v>0</v>
      </c>
    </row>
    <row r="72" spans="1:10" x14ac:dyDescent="0.25">
      <c r="A72" s="508" t="s">
        <v>278</v>
      </c>
      <c r="B72" s="665"/>
      <c r="C72" s="665"/>
      <c r="D72" s="509"/>
      <c r="E72" s="37">
        <f>'Maximum Rates'!$C$37</f>
        <v>11</v>
      </c>
      <c r="F72" s="34" t="s">
        <v>395</v>
      </c>
      <c r="G72" s="35"/>
      <c r="H72" s="58">
        <f t="shared" si="4"/>
        <v>0</v>
      </c>
      <c r="I72" s="56"/>
      <c r="J72" s="54">
        <f t="shared" si="5"/>
        <v>0</v>
      </c>
    </row>
    <row r="73" spans="1:10" x14ac:dyDescent="0.25">
      <c r="A73" s="508"/>
      <c r="B73" s="665"/>
      <c r="C73" s="665"/>
      <c r="D73" s="509"/>
      <c r="E73" s="37"/>
      <c r="F73" s="34" t="s">
        <v>395</v>
      </c>
      <c r="G73" s="35"/>
      <c r="H73" s="58">
        <f t="shared" si="4"/>
        <v>0</v>
      </c>
      <c r="I73" s="56"/>
      <c r="J73" s="54">
        <f t="shared" si="5"/>
        <v>0</v>
      </c>
    </row>
    <row r="74" spans="1:10" x14ac:dyDescent="0.25">
      <c r="A74" s="508" t="s">
        <v>279</v>
      </c>
      <c r="B74" s="665"/>
      <c r="C74" s="665"/>
      <c r="D74" s="509"/>
      <c r="E74" s="37">
        <f>'Maximum Rates'!$C$39</f>
        <v>11</v>
      </c>
      <c r="F74" s="34" t="s">
        <v>395</v>
      </c>
      <c r="G74" s="35"/>
      <c r="H74" s="58">
        <f t="shared" si="4"/>
        <v>0</v>
      </c>
      <c r="I74" s="56"/>
      <c r="J74" s="54">
        <f t="shared" si="5"/>
        <v>0</v>
      </c>
    </row>
    <row r="75" spans="1:10" x14ac:dyDescent="0.25">
      <c r="A75" s="508" t="s">
        <v>280</v>
      </c>
      <c r="B75" s="665"/>
      <c r="C75" s="665"/>
      <c r="D75" s="509"/>
      <c r="E75" s="37">
        <f>'Maximum Rates'!$C$40</f>
        <v>11</v>
      </c>
      <c r="F75" s="34" t="s">
        <v>395</v>
      </c>
      <c r="G75" s="35"/>
      <c r="H75" s="58">
        <f t="shared" si="4"/>
        <v>0</v>
      </c>
      <c r="I75" s="56"/>
      <c r="J75" s="54">
        <f t="shared" si="5"/>
        <v>0</v>
      </c>
    </row>
    <row r="76" spans="1:10" ht="13.8" thickBot="1" x14ac:dyDescent="0.3">
      <c r="A76" s="508"/>
      <c r="B76" s="665"/>
      <c r="C76" s="665"/>
      <c r="D76" s="509"/>
      <c r="E76" s="37"/>
      <c r="F76" s="34" t="s">
        <v>395</v>
      </c>
      <c r="G76" s="35"/>
      <c r="H76" s="58">
        <f t="shared" si="4"/>
        <v>0</v>
      </c>
      <c r="I76" s="56"/>
      <c r="J76" s="54">
        <f t="shared" si="5"/>
        <v>0</v>
      </c>
    </row>
    <row r="77" spans="1:10" ht="16.2" thickBot="1" x14ac:dyDescent="0.35">
      <c r="A77" s="522"/>
      <c r="B77" s="669"/>
      <c r="C77" s="669"/>
      <c r="D77" s="529" t="s">
        <v>331</v>
      </c>
      <c r="E77" s="55"/>
      <c r="F77" s="533"/>
      <c r="G77" s="530"/>
      <c r="H77" s="38">
        <f>SUM(H56:H76)</f>
        <v>176</v>
      </c>
      <c r="I77" s="530"/>
      <c r="J77" s="38">
        <f>SUM(J56:J76)</f>
        <v>77</v>
      </c>
    </row>
    <row r="78" spans="1:10" ht="16.2" thickBot="1" x14ac:dyDescent="0.35">
      <c r="A78" s="539"/>
      <c r="B78" s="539"/>
      <c r="C78" s="539"/>
      <c r="D78" s="33"/>
      <c r="E78" s="46"/>
      <c r="F78" s="535"/>
      <c r="G78" s="538"/>
      <c r="H78" s="537"/>
      <c r="I78" s="536"/>
      <c r="J78" s="537"/>
    </row>
    <row r="79" spans="1:10" ht="30.6" customHeight="1" thickBot="1" x14ac:dyDescent="0.3">
      <c r="A79" s="2251" t="s">
        <v>327</v>
      </c>
      <c r="B79" s="2252"/>
      <c r="C79" s="2252"/>
      <c r="D79" s="2253"/>
      <c r="E79" s="2245" t="s">
        <v>328</v>
      </c>
      <c r="F79" s="2247" t="s">
        <v>368</v>
      </c>
      <c r="G79" s="2249" t="s">
        <v>541</v>
      </c>
      <c r="H79" s="2250"/>
      <c r="I79" s="2259" t="s">
        <v>823</v>
      </c>
      <c r="J79" s="2260"/>
    </row>
    <row r="80" spans="1:10" ht="30.6" customHeight="1" thickBot="1" x14ac:dyDescent="0.3">
      <c r="A80" s="2261"/>
      <c r="B80" s="2262"/>
      <c r="C80" s="2262"/>
      <c r="D80" s="2263"/>
      <c r="E80" s="2257"/>
      <c r="F80" s="2258"/>
      <c r="G80" s="531" t="s">
        <v>330</v>
      </c>
      <c r="H80" s="511" t="s">
        <v>331</v>
      </c>
      <c r="I80" s="532" t="s">
        <v>330</v>
      </c>
      <c r="J80" s="511" t="s">
        <v>331</v>
      </c>
    </row>
    <row r="81" spans="1:10" x14ac:dyDescent="0.25">
      <c r="A81" s="520" t="s">
        <v>332</v>
      </c>
      <c r="B81" s="664"/>
      <c r="C81" s="664"/>
      <c r="D81" s="521"/>
      <c r="E81" s="523">
        <f>'Maximum Rates'!$C$21</f>
        <v>28</v>
      </c>
      <c r="F81" s="524" t="s">
        <v>395</v>
      </c>
      <c r="G81" s="525"/>
      <c r="H81" s="526">
        <f>($E81)*G81</f>
        <v>0</v>
      </c>
      <c r="I81" s="527"/>
      <c r="J81" s="528">
        <f>($E81)*I81</f>
        <v>0</v>
      </c>
    </row>
    <row r="82" spans="1:10" x14ac:dyDescent="0.25">
      <c r="A82" s="508" t="s">
        <v>333</v>
      </c>
      <c r="B82" s="665"/>
      <c r="C82" s="665"/>
      <c r="D82" s="509"/>
      <c r="E82" s="37">
        <f>'Maximum Rates'!$C$22</f>
        <v>55</v>
      </c>
      <c r="F82" s="34" t="s">
        <v>395</v>
      </c>
      <c r="G82" s="35">
        <v>1</v>
      </c>
      <c r="H82" s="58">
        <f t="shared" ref="H82:H101" si="6">($E82)*G82</f>
        <v>55</v>
      </c>
      <c r="I82" s="56">
        <v>1</v>
      </c>
      <c r="J82" s="54">
        <f t="shared" ref="J82:J101" si="7">($E82)*I82</f>
        <v>55</v>
      </c>
    </row>
    <row r="83" spans="1:10" x14ac:dyDescent="0.25">
      <c r="A83" s="508" t="s">
        <v>270</v>
      </c>
      <c r="B83" s="665"/>
      <c r="C83" s="665"/>
      <c r="D83" s="509"/>
      <c r="E83" s="37">
        <f>'Maximum Rates'!$C$23</f>
        <v>11</v>
      </c>
      <c r="F83" s="34" t="s">
        <v>395</v>
      </c>
      <c r="G83" s="35"/>
      <c r="H83" s="58">
        <f t="shared" si="6"/>
        <v>0</v>
      </c>
      <c r="I83" s="56"/>
      <c r="J83" s="54">
        <f t="shared" si="7"/>
        <v>0</v>
      </c>
    </row>
    <row r="84" spans="1:10" x14ac:dyDescent="0.25">
      <c r="A84" s="508" t="s">
        <v>271</v>
      </c>
      <c r="B84" s="665"/>
      <c r="C84" s="665"/>
      <c r="D84" s="509"/>
      <c r="E84" s="37">
        <f>'Maximum Rates'!$C$24</f>
        <v>11</v>
      </c>
      <c r="F84" s="34" t="s">
        <v>395</v>
      </c>
      <c r="G84" s="35">
        <v>1</v>
      </c>
      <c r="H84" s="58">
        <f t="shared" si="6"/>
        <v>11</v>
      </c>
      <c r="I84" s="56">
        <v>1</v>
      </c>
      <c r="J84" s="54">
        <f t="shared" si="7"/>
        <v>11</v>
      </c>
    </row>
    <row r="85" spans="1:10" x14ac:dyDescent="0.25">
      <c r="A85" s="508" t="s">
        <v>272</v>
      </c>
      <c r="B85" s="665"/>
      <c r="C85" s="665"/>
      <c r="D85" s="509"/>
      <c r="E85" s="37">
        <f>'Maximum Rates'!$C$25</f>
        <v>11</v>
      </c>
      <c r="F85" s="34" t="s">
        <v>395</v>
      </c>
      <c r="G85" s="35"/>
      <c r="H85" s="58">
        <f t="shared" si="6"/>
        <v>0</v>
      </c>
      <c r="I85" s="56"/>
      <c r="J85" s="54">
        <f t="shared" si="7"/>
        <v>0</v>
      </c>
    </row>
    <row r="86" spans="1:10" x14ac:dyDescent="0.25">
      <c r="A86" s="508"/>
      <c r="B86" s="665"/>
      <c r="C86" s="665"/>
      <c r="D86" s="509"/>
      <c r="E86" s="37"/>
      <c r="F86" s="34" t="s">
        <v>395</v>
      </c>
      <c r="G86" s="35"/>
      <c r="H86" s="58">
        <f t="shared" si="6"/>
        <v>0</v>
      </c>
      <c r="I86" s="56"/>
      <c r="J86" s="54">
        <f t="shared" si="7"/>
        <v>0</v>
      </c>
    </row>
    <row r="87" spans="1:10" x14ac:dyDescent="0.25">
      <c r="A87" s="508" t="s">
        <v>79</v>
      </c>
      <c r="B87" s="665"/>
      <c r="C87" s="665"/>
      <c r="D87" s="509"/>
      <c r="E87" s="37">
        <f>'Maximum Rates'!$C$27</f>
        <v>28</v>
      </c>
      <c r="F87" s="34" t="s">
        <v>395</v>
      </c>
      <c r="G87" s="35"/>
      <c r="H87" s="58">
        <f t="shared" si="6"/>
        <v>0</v>
      </c>
      <c r="I87" s="56"/>
      <c r="J87" s="54">
        <f t="shared" si="7"/>
        <v>0</v>
      </c>
    </row>
    <row r="88" spans="1:10" x14ac:dyDescent="0.25">
      <c r="A88" s="510" t="s">
        <v>43</v>
      </c>
      <c r="B88" s="666"/>
      <c r="C88" s="666"/>
      <c r="D88" s="509"/>
      <c r="E88" s="37">
        <f>'Maximum Rates'!$C$28</f>
        <v>33</v>
      </c>
      <c r="F88" s="34" t="s">
        <v>395</v>
      </c>
      <c r="G88" s="35"/>
      <c r="H88" s="58">
        <f t="shared" si="6"/>
        <v>0</v>
      </c>
      <c r="I88" s="56"/>
      <c r="J88" s="54">
        <f t="shared" si="7"/>
        <v>0</v>
      </c>
    </row>
    <row r="89" spans="1:10" x14ac:dyDescent="0.25">
      <c r="A89" s="508" t="s">
        <v>273</v>
      </c>
      <c r="B89" s="665"/>
      <c r="C89" s="665"/>
      <c r="D89" s="509"/>
      <c r="E89" s="37">
        <f>'Maximum Rates'!$C$29</f>
        <v>110</v>
      </c>
      <c r="F89" s="34" t="s">
        <v>395</v>
      </c>
      <c r="G89" s="35"/>
      <c r="H89" s="58">
        <f t="shared" si="6"/>
        <v>0</v>
      </c>
      <c r="I89" s="56"/>
      <c r="J89" s="54">
        <f t="shared" si="7"/>
        <v>0</v>
      </c>
    </row>
    <row r="90" spans="1:10" x14ac:dyDescent="0.25">
      <c r="A90" s="508" t="s">
        <v>274</v>
      </c>
      <c r="B90" s="665"/>
      <c r="C90" s="665"/>
      <c r="D90" s="509"/>
      <c r="E90" s="37">
        <f>'Maximum Rates'!$C$30</f>
        <v>11</v>
      </c>
      <c r="F90" s="34" t="s">
        <v>395</v>
      </c>
      <c r="G90" s="35">
        <v>1</v>
      </c>
      <c r="H90" s="58">
        <f t="shared" si="6"/>
        <v>11</v>
      </c>
      <c r="I90" s="56">
        <v>1</v>
      </c>
      <c r="J90" s="54">
        <f t="shared" si="7"/>
        <v>11</v>
      </c>
    </row>
    <row r="91" spans="1:10" x14ac:dyDescent="0.25">
      <c r="A91" s="512" t="s">
        <v>700</v>
      </c>
      <c r="B91" s="667"/>
      <c r="C91" s="667"/>
      <c r="D91" s="509"/>
      <c r="E91" s="37">
        <f>'Maximum Rates'!$C$31</f>
        <v>11</v>
      </c>
      <c r="F91" s="34" t="s">
        <v>395</v>
      </c>
      <c r="G91" s="35"/>
      <c r="H91" s="58">
        <f t="shared" si="6"/>
        <v>0</v>
      </c>
      <c r="I91" s="56">
        <v>1</v>
      </c>
      <c r="J91" s="54">
        <f t="shared" si="7"/>
        <v>11</v>
      </c>
    </row>
    <row r="92" spans="1:10" x14ac:dyDescent="0.25">
      <c r="A92" s="512" t="s">
        <v>76</v>
      </c>
      <c r="B92" s="667"/>
      <c r="C92" s="667"/>
      <c r="D92" s="513"/>
      <c r="E92" s="37">
        <f>'Maximum Rates'!$C$38</f>
        <v>110</v>
      </c>
      <c r="F92" s="34" t="s">
        <v>395</v>
      </c>
      <c r="G92" s="35"/>
      <c r="H92" s="58">
        <f t="shared" si="6"/>
        <v>0</v>
      </c>
      <c r="I92" s="56"/>
      <c r="J92" s="54">
        <f t="shared" si="7"/>
        <v>0</v>
      </c>
    </row>
    <row r="93" spans="1:10" x14ac:dyDescent="0.25">
      <c r="A93" s="508" t="s">
        <v>275</v>
      </c>
      <c r="B93" s="665"/>
      <c r="C93" s="665"/>
      <c r="D93" s="509"/>
      <c r="E93" s="37">
        <f>'Maximum Rates'!$C$33</f>
        <v>11</v>
      </c>
      <c r="F93" s="34" t="s">
        <v>395</v>
      </c>
      <c r="G93" s="35"/>
      <c r="H93" s="58">
        <f t="shared" si="6"/>
        <v>0</v>
      </c>
      <c r="I93" s="56"/>
      <c r="J93" s="54">
        <f t="shared" si="7"/>
        <v>0</v>
      </c>
    </row>
    <row r="94" spans="1:10" x14ac:dyDescent="0.25">
      <c r="A94" s="512" t="s">
        <v>76</v>
      </c>
      <c r="B94" s="667"/>
      <c r="C94" s="667"/>
      <c r="D94" s="513"/>
      <c r="E94" s="37">
        <f>'Maximum Rates'!$C$38/2</f>
        <v>55</v>
      </c>
      <c r="F94" s="34" t="s">
        <v>395</v>
      </c>
      <c r="G94" s="35"/>
      <c r="H94" s="58">
        <f t="shared" si="6"/>
        <v>0</v>
      </c>
      <c r="I94" s="56">
        <v>1</v>
      </c>
      <c r="J94" s="54">
        <f t="shared" si="7"/>
        <v>55</v>
      </c>
    </row>
    <row r="95" spans="1:10" x14ac:dyDescent="0.25">
      <c r="A95" s="508" t="s">
        <v>276</v>
      </c>
      <c r="B95" s="665"/>
      <c r="C95" s="665"/>
      <c r="D95" s="509"/>
      <c r="E95" s="37">
        <f>'Maximum Rates'!$C$35</f>
        <v>11</v>
      </c>
      <c r="F95" s="34" t="s">
        <v>395</v>
      </c>
      <c r="G95" s="35"/>
      <c r="H95" s="58">
        <f t="shared" si="6"/>
        <v>0</v>
      </c>
      <c r="I95" s="56"/>
      <c r="J95" s="54">
        <f t="shared" si="7"/>
        <v>0</v>
      </c>
    </row>
    <row r="96" spans="1:10" x14ac:dyDescent="0.25">
      <c r="A96" s="512" t="s">
        <v>697</v>
      </c>
      <c r="B96" s="667"/>
      <c r="C96" s="667"/>
      <c r="D96" s="513"/>
      <c r="E96" s="37">
        <f>'Maximum Rates'!$C$26</f>
        <v>6</v>
      </c>
      <c r="F96" s="34" t="s">
        <v>395</v>
      </c>
      <c r="G96" s="35"/>
      <c r="H96" s="58">
        <f t="shared" si="6"/>
        <v>0</v>
      </c>
      <c r="I96" s="56">
        <v>1</v>
      </c>
      <c r="J96" s="54">
        <f t="shared" si="7"/>
        <v>6</v>
      </c>
    </row>
    <row r="97" spans="1:10" x14ac:dyDescent="0.25">
      <c r="A97" s="508" t="s">
        <v>278</v>
      </c>
      <c r="B97" s="665"/>
      <c r="C97" s="665"/>
      <c r="D97" s="509"/>
      <c r="E97" s="37">
        <f>'Maximum Rates'!$C$37</f>
        <v>11</v>
      </c>
      <c r="F97" s="34" t="s">
        <v>395</v>
      </c>
      <c r="G97" s="35"/>
      <c r="H97" s="58">
        <f t="shared" si="6"/>
        <v>0</v>
      </c>
      <c r="I97" s="56"/>
      <c r="J97" s="54">
        <f t="shared" si="7"/>
        <v>0</v>
      </c>
    </row>
    <row r="98" spans="1:10" x14ac:dyDescent="0.25">
      <c r="A98" s="508"/>
      <c r="B98" s="665"/>
      <c r="C98" s="665"/>
      <c r="D98" s="509"/>
      <c r="E98" s="37"/>
      <c r="F98" s="34" t="s">
        <v>395</v>
      </c>
      <c r="G98" s="35"/>
      <c r="H98" s="58">
        <f t="shared" si="6"/>
        <v>0</v>
      </c>
      <c r="I98" s="56"/>
      <c r="J98" s="54">
        <f t="shared" si="7"/>
        <v>0</v>
      </c>
    </row>
    <row r="99" spans="1:10" x14ac:dyDescent="0.25">
      <c r="A99" s="508" t="s">
        <v>279</v>
      </c>
      <c r="B99" s="665"/>
      <c r="C99" s="665"/>
      <c r="D99" s="509"/>
      <c r="E99" s="37">
        <f>'Maximum Rates'!$C$39</f>
        <v>11</v>
      </c>
      <c r="F99" s="34" t="s">
        <v>395</v>
      </c>
      <c r="G99" s="35"/>
      <c r="H99" s="58">
        <f t="shared" si="6"/>
        <v>0</v>
      </c>
      <c r="I99" s="56">
        <v>1</v>
      </c>
      <c r="J99" s="54">
        <f t="shared" si="7"/>
        <v>11</v>
      </c>
    </row>
    <row r="100" spans="1:10" x14ac:dyDescent="0.25">
      <c r="A100" s="508" t="s">
        <v>280</v>
      </c>
      <c r="B100" s="665"/>
      <c r="C100" s="665"/>
      <c r="D100" s="509"/>
      <c r="E100" s="37">
        <f>'Maximum Rates'!$C$40</f>
        <v>11</v>
      </c>
      <c r="F100" s="34" t="s">
        <v>395</v>
      </c>
      <c r="G100" s="35"/>
      <c r="H100" s="58">
        <f t="shared" si="6"/>
        <v>0</v>
      </c>
      <c r="I100" s="56"/>
      <c r="J100" s="54">
        <f t="shared" si="7"/>
        <v>0</v>
      </c>
    </row>
    <row r="101" spans="1:10" ht="13.8" thickBot="1" x14ac:dyDescent="0.3">
      <c r="A101" s="508"/>
      <c r="B101" s="665"/>
      <c r="C101" s="665"/>
      <c r="D101" s="509"/>
      <c r="E101" s="37"/>
      <c r="F101" s="34" t="s">
        <v>395</v>
      </c>
      <c r="G101" s="35"/>
      <c r="H101" s="58">
        <f t="shared" si="6"/>
        <v>0</v>
      </c>
      <c r="I101" s="56"/>
      <c r="J101" s="54">
        <f t="shared" si="7"/>
        <v>0</v>
      </c>
    </row>
    <row r="102" spans="1:10" ht="16.2" thickBot="1" x14ac:dyDescent="0.35">
      <c r="A102" s="522"/>
      <c r="B102" s="669"/>
      <c r="C102" s="669"/>
      <c r="D102" s="529" t="s">
        <v>331</v>
      </c>
      <c r="E102" s="55"/>
      <c r="F102" s="533"/>
      <c r="G102" s="534"/>
      <c r="H102" s="38">
        <f>SUM(H81:H101)</f>
        <v>77</v>
      </c>
      <c r="I102" s="530"/>
      <c r="J102" s="38">
        <f>SUM(J81:J101)</f>
        <v>160</v>
      </c>
    </row>
    <row r="103" spans="1:10" ht="30.6" customHeight="1" thickBot="1" x14ac:dyDescent="0.3">
      <c r="A103" s="2251" t="s">
        <v>327</v>
      </c>
      <c r="B103" s="2252"/>
      <c r="C103" s="2252"/>
      <c r="D103" s="2253"/>
      <c r="E103" s="2245" t="s">
        <v>328</v>
      </c>
      <c r="F103" s="2247" t="s">
        <v>368</v>
      </c>
      <c r="G103" s="2249" t="s">
        <v>698</v>
      </c>
      <c r="H103" s="2250"/>
      <c r="I103" s="2249" t="s">
        <v>543</v>
      </c>
      <c r="J103" s="2250"/>
    </row>
    <row r="104" spans="1:10" ht="30.6" customHeight="1" thickBot="1" x14ac:dyDescent="0.3">
      <c r="A104" s="2254"/>
      <c r="B104" s="2255"/>
      <c r="C104" s="2255"/>
      <c r="D104" s="2256"/>
      <c r="E104" s="2246"/>
      <c r="F104" s="2248"/>
      <c r="G104" s="32" t="s">
        <v>330</v>
      </c>
      <c r="H104" s="53" t="s">
        <v>331</v>
      </c>
      <c r="I104" s="507" t="s">
        <v>330</v>
      </c>
      <c r="J104" s="53" t="s">
        <v>331</v>
      </c>
    </row>
    <row r="105" spans="1:10" x14ac:dyDescent="0.25">
      <c r="A105" s="508" t="s">
        <v>332</v>
      </c>
      <c r="B105" s="665"/>
      <c r="C105" s="665"/>
      <c r="D105" s="509"/>
      <c r="E105" s="541">
        <f>'Maximum Rates'!$C$21</f>
        <v>28</v>
      </c>
      <c r="F105" s="542" t="s">
        <v>395</v>
      </c>
      <c r="G105" s="543"/>
      <c r="H105" s="58">
        <f>($E105)*G105</f>
        <v>0</v>
      </c>
      <c r="I105" s="544"/>
      <c r="J105" s="545">
        <f>($E105)*I105</f>
        <v>0</v>
      </c>
    </row>
    <row r="106" spans="1:10" x14ac:dyDescent="0.25">
      <c r="A106" s="508" t="s">
        <v>333</v>
      </c>
      <c r="B106" s="665"/>
      <c r="C106" s="665"/>
      <c r="D106" s="509"/>
      <c r="E106" s="37">
        <f>'Maximum Rates'!$C$22</f>
        <v>55</v>
      </c>
      <c r="F106" s="34" t="s">
        <v>395</v>
      </c>
      <c r="G106" s="35">
        <v>1</v>
      </c>
      <c r="H106" s="58">
        <f t="shared" ref="H106:H125" si="8">($E106)*G106</f>
        <v>55</v>
      </c>
      <c r="I106" s="56">
        <v>1</v>
      </c>
      <c r="J106" s="54">
        <f t="shared" ref="J106:J125" si="9">($E106)*I106</f>
        <v>55</v>
      </c>
    </row>
    <row r="107" spans="1:10" x14ac:dyDescent="0.25">
      <c r="A107" s="508" t="s">
        <v>270</v>
      </c>
      <c r="B107" s="665"/>
      <c r="C107" s="665"/>
      <c r="D107" s="509"/>
      <c r="E107" s="37">
        <f>'Maximum Rates'!$C$23</f>
        <v>11</v>
      </c>
      <c r="F107" s="34" t="s">
        <v>395</v>
      </c>
      <c r="G107" s="35"/>
      <c r="H107" s="58">
        <f t="shared" si="8"/>
        <v>0</v>
      </c>
      <c r="I107" s="56"/>
      <c r="J107" s="54">
        <f t="shared" si="9"/>
        <v>0</v>
      </c>
    </row>
    <row r="108" spans="1:10" x14ac:dyDescent="0.25">
      <c r="A108" s="508" t="s">
        <v>271</v>
      </c>
      <c r="B108" s="665"/>
      <c r="C108" s="665"/>
      <c r="D108" s="509"/>
      <c r="E108" s="37">
        <f>'Maximum Rates'!$C$24</f>
        <v>11</v>
      </c>
      <c r="F108" s="34" t="s">
        <v>395</v>
      </c>
      <c r="G108" s="35"/>
      <c r="H108" s="58">
        <f t="shared" si="8"/>
        <v>0</v>
      </c>
      <c r="I108" s="56"/>
      <c r="J108" s="54">
        <f t="shared" si="9"/>
        <v>0</v>
      </c>
    </row>
    <row r="109" spans="1:10" x14ac:dyDescent="0.25">
      <c r="A109" s="508" t="s">
        <v>272</v>
      </c>
      <c r="B109" s="665"/>
      <c r="C109" s="665"/>
      <c r="D109" s="509"/>
      <c r="E109" s="37">
        <f>'Maximum Rates'!$C$25</f>
        <v>11</v>
      </c>
      <c r="F109" s="34" t="s">
        <v>395</v>
      </c>
      <c r="G109" s="35"/>
      <c r="H109" s="58">
        <f t="shared" si="8"/>
        <v>0</v>
      </c>
      <c r="I109" s="56"/>
      <c r="J109" s="54">
        <f t="shared" si="9"/>
        <v>0</v>
      </c>
    </row>
    <row r="110" spans="1:10" x14ac:dyDescent="0.25">
      <c r="A110" s="508"/>
      <c r="B110" s="665"/>
      <c r="C110" s="665"/>
      <c r="D110" s="509"/>
      <c r="E110" s="37"/>
      <c r="F110" s="34" t="s">
        <v>395</v>
      </c>
      <c r="G110" s="35"/>
      <c r="H110" s="58">
        <f t="shared" si="8"/>
        <v>0</v>
      </c>
      <c r="I110" s="56"/>
      <c r="J110" s="54">
        <f t="shared" si="9"/>
        <v>0</v>
      </c>
    </row>
    <row r="111" spans="1:10" x14ac:dyDescent="0.25">
      <c r="A111" s="508" t="s">
        <v>79</v>
      </c>
      <c r="B111" s="665"/>
      <c r="C111" s="665"/>
      <c r="D111" s="509"/>
      <c r="E111" s="37">
        <f>'Maximum Rates'!$C$27</f>
        <v>28</v>
      </c>
      <c r="F111" s="34" t="s">
        <v>395</v>
      </c>
      <c r="G111" s="35"/>
      <c r="H111" s="58">
        <f t="shared" si="8"/>
        <v>0</v>
      </c>
      <c r="I111" s="56"/>
      <c r="J111" s="54">
        <f t="shared" si="9"/>
        <v>0</v>
      </c>
    </row>
    <row r="112" spans="1:10" x14ac:dyDescent="0.25">
      <c r="A112" s="510" t="s">
        <v>43</v>
      </c>
      <c r="B112" s="666"/>
      <c r="C112" s="666"/>
      <c r="D112" s="509"/>
      <c r="E112" s="37">
        <f>'Maximum Rates'!$C$28</f>
        <v>33</v>
      </c>
      <c r="F112" s="34" t="s">
        <v>395</v>
      </c>
      <c r="G112" s="35"/>
      <c r="H112" s="58">
        <f t="shared" si="8"/>
        <v>0</v>
      </c>
      <c r="I112" s="56"/>
      <c r="J112" s="54">
        <f t="shared" si="9"/>
        <v>0</v>
      </c>
    </row>
    <row r="113" spans="1:10" x14ac:dyDescent="0.25">
      <c r="A113" s="508" t="s">
        <v>273</v>
      </c>
      <c r="B113" s="665"/>
      <c r="C113" s="665"/>
      <c r="D113" s="509"/>
      <c r="E113" s="37">
        <f>'Maximum Rates'!$C$29</f>
        <v>110</v>
      </c>
      <c r="F113" s="34" t="s">
        <v>395</v>
      </c>
      <c r="G113" s="35"/>
      <c r="H113" s="58">
        <f t="shared" si="8"/>
        <v>0</v>
      </c>
      <c r="I113" s="56"/>
      <c r="J113" s="54">
        <f t="shared" si="9"/>
        <v>0</v>
      </c>
    </row>
    <row r="114" spans="1:10" x14ac:dyDescent="0.25">
      <c r="A114" s="508" t="s">
        <v>274</v>
      </c>
      <c r="B114" s="665"/>
      <c r="C114" s="665"/>
      <c r="D114" s="509"/>
      <c r="E114" s="37">
        <f>'Maximum Rates'!$C$30</f>
        <v>11</v>
      </c>
      <c r="F114" s="34" t="s">
        <v>395</v>
      </c>
      <c r="G114" s="35">
        <v>1</v>
      </c>
      <c r="H114" s="58">
        <f t="shared" si="8"/>
        <v>11</v>
      </c>
      <c r="I114" s="56">
        <v>1</v>
      </c>
      <c r="J114" s="54">
        <f t="shared" si="9"/>
        <v>11</v>
      </c>
    </row>
    <row r="115" spans="1:10" x14ac:dyDescent="0.25">
      <c r="A115" s="512" t="s">
        <v>700</v>
      </c>
      <c r="B115" s="667"/>
      <c r="C115" s="667"/>
      <c r="D115" s="509"/>
      <c r="E115" s="37">
        <f>'Maximum Rates'!$C$31</f>
        <v>11</v>
      </c>
      <c r="F115" s="34" t="s">
        <v>395</v>
      </c>
      <c r="G115" s="35"/>
      <c r="H115" s="58">
        <f t="shared" si="8"/>
        <v>0</v>
      </c>
      <c r="I115" s="56"/>
      <c r="J115" s="54">
        <f t="shared" si="9"/>
        <v>0</v>
      </c>
    </row>
    <row r="116" spans="1:10" x14ac:dyDescent="0.25">
      <c r="A116" s="512" t="s">
        <v>76</v>
      </c>
      <c r="B116" s="667"/>
      <c r="C116" s="667"/>
      <c r="D116" s="513"/>
      <c r="E116" s="37">
        <f>'Maximum Rates'!$C$38</f>
        <v>110</v>
      </c>
      <c r="F116" s="34" t="s">
        <v>395</v>
      </c>
      <c r="G116" s="35"/>
      <c r="H116" s="58">
        <f t="shared" si="8"/>
        <v>0</v>
      </c>
      <c r="I116" s="56"/>
      <c r="J116" s="54">
        <f t="shared" si="9"/>
        <v>0</v>
      </c>
    </row>
    <row r="117" spans="1:10" x14ac:dyDescent="0.25">
      <c r="A117" s="508" t="s">
        <v>275</v>
      </c>
      <c r="B117" s="665"/>
      <c r="C117" s="665"/>
      <c r="D117" s="509"/>
      <c r="E117" s="37">
        <f>'Maximum Rates'!$C$33</f>
        <v>11</v>
      </c>
      <c r="F117" s="34" t="s">
        <v>395</v>
      </c>
      <c r="G117" s="35">
        <v>1</v>
      </c>
      <c r="H117" s="58">
        <f t="shared" si="8"/>
        <v>11</v>
      </c>
      <c r="I117" s="56"/>
      <c r="J117" s="54">
        <f t="shared" si="9"/>
        <v>0</v>
      </c>
    </row>
    <row r="118" spans="1:10" x14ac:dyDescent="0.25">
      <c r="A118" s="514"/>
      <c r="B118" s="539"/>
      <c r="C118" s="539"/>
      <c r="D118" s="515"/>
      <c r="E118" s="37"/>
      <c r="F118" s="34" t="s">
        <v>395</v>
      </c>
      <c r="G118" s="35"/>
      <c r="H118" s="58">
        <f t="shared" si="8"/>
        <v>0</v>
      </c>
      <c r="I118" s="56"/>
      <c r="J118" s="54">
        <f t="shared" si="9"/>
        <v>0</v>
      </c>
    </row>
    <row r="119" spans="1:10" x14ac:dyDescent="0.25">
      <c r="A119" s="508" t="s">
        <v>276</v>
      </c>
      <c r="B119" s="665"/>
      <c r="C119" s="665"/>
      <c r="D119" s="509"/>
      <c r="E119" s="37">
        <f>'Maximum Rates'!$C$35</f>
        <v>11</v>
      </c>
      <c r="F119" s="34" t="s">
        <v>395</v>
      </c>
      <c r="G119" s="35"/>
      <c r="H119" s="58">
        <f t="shared" si="8"/>
        <v>0</v>
      </c>
      <c r="I119" s="56"/>
      <c r="J119" s="54">
        <f t="shared" si="9"/>
        <v>0</v>
      </c>
    </row>
    <row r="120" spans="1:10" x14ac:dyDescent="0.25">
      <c r="A120" s="512" t="s">
        <v>697</v>
      </c>
      <c r="B120" s="667"/>
      <c r="C120" s="667"/>
      <c r="D120" s="513"/>
      <c r="E120" s="37">
        <f>'Maximum Rates'!$C$26</f>
        <v>6</v>
      </c>
      <c r="F120" s="34" t="s">
        <v>395</v>
      </c>
      <c r="G120" s="35">
        <v>1</v>
      </c>
      <c r="H120" s="58">
        <f t="shared" si="8"/>
        <v>6</v>
      </c>
      <c r="I120" s="56"/>
      <c r="J120" s="54">
        <f t="shared" si="9"/>
        <v>0</v>
      </c>
    </row>
    <row r="121" spans="1:10" x14ac:dyDescent="0.25">
      <c r="A121" s="508" t="s">
        <v>278</v>
      </c>
      <c r="B121" s="665"/>
      <c r="C121" s="665"/>
      <c r="D121" s="509"/>
      <c r="E121" s="37">
        <f>'Maximum Rates'!$C$37</f>
        <v>11</v>
      </c>
      <c r="F121" s="34" t="s">
        <v>395</v>
      </c>
      <c r="G121" s="35"/>
      <c r="H121" s="58">
        <f t="shared" si="8"/>
        <v>0</v>
      </c>
      <c r="I121" s="56"/>
      <c r="J121" s="54">
        <f t="shared" si="9"/>
        <v>0</v>
      </c>
    </row>
    <row r="122" spans="1:10" x14ac:dyDescent="0.25">
      <c r="A122" s="508"/>
      <c r="B122" s="665"/>
      <c r="C122" s="665"/>
      <c r="D122" s="509"/>
      <c r="E122" s="37"/>
      <c r="F122" s="34" t="s">
        <v>395</v>
      </c>
      <c r="G122" s="35"/>
      <c r="H122" s="58">
        <f t="shared" si="8"/>
        <v>0</v>
      </c>
      <c r="I122" s="56"/>
      <c r="J122" s="54">
        <f t="shared" si="9"/>
        <v>0</v>
      </c>
    </row>
    <row r="123" spans="1:10" x14ac:dyDescent="0.25">
      <c r="A123" s="508" t="s">
        <v>279</v>
      </c>
      <c r="B123" s="665"/>
      <c r="C123" s="665"/>
      <c r="D123" s="509"/>
      <c r="E123" s="37">
        <f>'Maximum Rates'!$C$39</f>
        <v>11</v>
      </c>
      <c r="F123" s="34" t="s">
        <v>395</v>
      </c>
      <c r="G123" s="35"/>
      <c r="H123" s="58">
        <f t="shared" si="8"/>
        <v>0</v>
      </c>
      <c r="I123" s="56"/>
      <c r="J123" s="54">
        <f t="shared" si="9"/>
        <v>0</v>
      </c>
    </row>
    <row r="124" spans="1:10" x14ac:dyDescent="0.25">
      <c r="A124" s="508" t="s">
        <v>280</v>
      </c>
      <c r="B124" s="665"/>
      <c r="C124" s="665"/>
      <c r="D124" s="509"/>
      <c r="E124" s="37">
        <f>'Maximum Rates'!$C$40</f>
        <v>11</v>
      </c>
      <c r="F124" s="34" t="s">
        <v>395</v>
      </c>
      <c r="G124" s="35"/>
      <c r="H124" s="58">
        <f t="shared" si="8"/>
        <v>0</v>
      </c>
      <c r="I124" s="56"/>
      <c r="J124" s="54">
        <f t="shared" si="9"/>
        <v>0</v>
      </c>
    </row>
    <row r="125" spans="1:10" ht="13.8" thickBot="1" x14ac:dyDescent="0.3">
      <c r="A125" s="508"/>
      <c r="B125" s="665"/>
      <c r="C125" s="665"/>
      <c r="D125" s="509"/>
      <c r="E125" s="37"/>
      <c r="F125" s="34" t="s">
        <v>395</v>
      </c>
      <c r="G125" s="35"/>
      <c r="H125" s="58">
        <f t="shared" si="8"/>
        <v>0</v>
      </c>
      <c r="I125" s="56"/>
      <c r="J125" s="54">
        <f t="shared" si="9"/>
        <v>0</v>
      </c>
    </row>
    <row r="126" spans="1:10" ht="16.2" thickBot="1" x14ac:dyDescent="0.35">
      <c r="A126" s="522"/>
      <c r="B126" s="669"/>
      <c r="C126" s="669"/>
      <c r="D126" s="529" t="s">
        <v>331</v>
      </c>
      <c r="E126" s="55"/>
      <c r="F126" s="533"/>
      <c r="G126" s="530"/>
      <c r="H126" s="38">
        <f>SUM(H105:H125)</f>
        <v>83</v>
      </c>
      <c r="I126" s="530"/>
      <c r="J126" s="38">
        <f>SUM(J105:J125)</f>
        <v>66</v>
      </c>
    </row>
    <row r="127" spans="1:10" ht="16.2" thickBot="1" x14ac:dyDescent="0.35">
      <c r="A127" s="540"/>
      <c r="B127" s="539"/>
      <c r="C127" s="539"/>
      <c r="D127" s="33"/>
      <c r="E127" s="46"/>
      <c r="F127" s="535"/>
      <c r="G127" s="536"/>
      <c r="H127" s="537"/>
      <c r="I127" s="536"/>
      <c r="J127" s="537"/>
    </row>
    <row r="128" spans="1:10" ht="30.6" customHeight="1" thickBot="1" x14ac:dyDescent="0.3">
      <c r="A128" s="2225" t="s">
        <v>327</v>
      </c>
      <c r="B128" s="2226"/>
      <c r="C128" s="2226"/>
      <c r="D128" s="2227"/>
      <c r="E128" s="2245" t="s">
        <v>328</v>
      </c>
      <c r="F128" s="2247" t="s">
        <v>368</v>
      </c>
      <c r="G128" s="2249" t="s">
        <v>699</v>
      </c>
      <c r="H128" s="2250"/>
      <c r="I128" s="2237" t="s">
        <v>440</v>
      </c>
      <c r="J128" s="2238"/>
    </row>
    <row r="129" spans="1:10" ht="30.6" customHeight="1" thickBot="1" x14ac:dyDescent="0.3">
      <c r="A129" s="2228"/>
      <c r="B129" s="2229"/>
      <c r="C129" s="2229"/>
      <c r="D129" s="2230"/>
      <c r="E129" s="2246"/>
      <c r="F129" s="2248"/>
      <c r="G129" s="32" t="s">
        <v>330</v>
      </c>
      <c r="H129" s="53" t="s">
        <v>331</v>
      </c>
      <c r="I129" s="1143" t="s">
        <v>330</v>
      </c>
      <c r="J129" s="1144" t="s">
        <v>331</v>
      </c>
    </row>
    <row r="130" spans="1:10" x14ac:dyDescent="0.25">
      <c r="A130" s="520" t="s">
        <v>332</v>
      </c>
      <c r="B130" s="664"/>
      <c r="C130" s="664"/>
      <c r="D130" s="521"/>
      <c r="E130" s="37">
        <f>'Maximum Rates'!$C$21</f>
        <v>28</v>
      </c>
      <c r="F130" s="34" t="s">
        <v>395</v>
      </c>
      <c r="G130" s="35"/>
      <c r="H130" s="58">
        <f>($E130)*G130</f>
        <v>0</v>
      </c>
      <c r="I130" s="1146"/>
      <c r="J130" s="54">
        <f>($E130)*I130</f>
        <v>0</v>
      </c>
    </row>
    <row r="131" spans="1:10" x14ac:dyDescent="0.25">
      <c r="A131" s="508" t="s">
        <v>333</v>
      </c>
      <c r="B131" s="665"/>
      <c r="C131" s="665"/>
      <c r="D131" s="509"/>
      <c r="E131" s="37">
        <f>'Maximum Rates'!$C$22</f>
        <v>55</v>
      </c>
      <c r="F131" s="34" t="s">
        <v>395</v>
      </c>
      <c r="G131" s="35">
        <v>1</v>
      </c>
      <c r="H131" s="58">
        <f t="shared" ref="H131:H150" si="10">($E131)*G131</f>
        <v>55</v>
      </c>
      <c r="I131" s="1146"/>
      <c r="J131" s="54">
        <f t="shared" ref="J131:J150" si="11">($E131)*I131</f>
        <v>0</v>
      </c>
    </row>
    <row r="132" spans="1:10" x14ac:dyDescent="0.25">
      <c r="A132" s="508" t="s">
        <v>270</v>
      </c>
      <c r="B132" s="665"/>
      <c r="C132" s="665"/>
      <c r="D132" s="509"/>
      <c r="E132" s="37">
        <f>'Maximum Rates'!$C$23</f>
        <v>11</v>
      </c>
      <c r="F132" s="34" t="s">
        <v>395</v>
      </c>
      <c r="G132" s="35"/>
      <c r="H132" s="58">
        <f t="shared" si="10"/>
        <v>0</v>
      </c>
      <c r="I132" s="1146"/>
      <c r="J132" s="54">
        <f t="shared" si="11"/>
        <v>0</v>
      </c>
    </row>
    <row r="133" spans="1:10" x14ac:dyDescent="0.25">
      <c r="A133" s="508" t="s">
        <v>271</v>
      </c>
      <c r="B133" s="665"/>
      <c r="C133" s="665"/>
      <c r="D133" s="509"/>
      <c r="E133" s="37">
        <f>'Maximum Rates'!$C$24</f>
        <v>11</v>
      </c>
      <c r="F133" s="34" t="s">
        <v>395</v>
      </c>
      <c r="G133" s="1145"/>
      <c r="H133" s="58">
        <f t="shared" si="10"/>
        <v>0</v>
      </c>
      <c r="I133" s="1146"/>
      <c r="J133" s="54">
        <f t="shared" si="11"/>
        <v>0</v>
      </c>
    </row>
    <row r="134" spans="1:10" x14ac:dyDescent="0.25">
      <c r="A134" s="508" t="s">
        <v>272</v>
      </c>
      <c r="B134" s="665"/>
      <c r="C134" s="665"/>
      <c r="D134" s="509"/>
      <c r="E134" s="37">
        <f>'Maximum Rates'!$C$25</f>
        <v>11</v>
      </c>
      <c r="F134" s="34" t="s">
        <v>395</v>
      </c>
      <c r="G134" s="35"/>
      <c r="H134" s="58">
        <f t="shared" si="10"/>
        <v>0</v>
      </c>
      <c r="I134" s="1146"/>
      <c r="J134" s="54">
        <f t="shared" si="11"/>
        <v>0</v>
      </c>
    </row>
    <row r="135" spans="1:10" x14ac:dyDescent="0.25">
      <c r="A135" s="508"/>
      <c r="B135" s="665"/>
      <c r="C135" s="665"/>
      <c r="D135" s="509"/>
      <c r="E135" s="37"/>
      <c r="F135" s="34" t="s">
        <v>395</v>
      </c>
      <c r="G135" s="35"/>
      <c r="H135" s="58">
        <f t="shared" si="10"/>
        <v>0</v>
      </c>
      <c r="I135" s="1146"/>
      <c r="J135" s="54">
        <f t="shared" si="11"/>
        <v>0</v>
      </c>
    </row>
    <row r="136" spans="1:10" x14ac:dyDescent="0.25">
      <c r="A136" s="508" t="s">
        <v>79</v>
      </c>
      <c r="B136" s="665"/>
      <c r="C136" s="665"/>
      <c r="D136" s="509"/>
      <c r="E136" s="37">
        <f>'Maximum Rates'!$C$27</f>
        <v>28</v>
      </c>
      <c r="F136" s="34" t="s">
        <v>395</v>
      </c>
      <c r="G136" s="35"/>
      <c r="H136" s="58">
        <f t="shared" si="10"/>
        <v>0</v>
      </c>
      <c r="I136" s="1146"/>
      <c r="J136" s="54">
        <f t="shared" si="11"/>
        <v>0</v>
      </c>
    </row>
    <row r="137" spans="1:10" x14ac:dyDescent="0.25">
      <c r="A137" s="510" t="s">
        <v>43</v>
      </c>
      <c r="B137" s="666"/>
      <c r="C137" s="666"/>
      <c r="D137" s="509"/>
      <c r="E137" s="37">
        <f>'Maximum Rates'!$C$28</f>
        <v>33</v>
      </c>
      <c r="F137" s="34" t="s">
        <v>395</v>
      </c>
      <c r="G137" s="35"/>
      <c r="H137" s="58">
        <f t="shared" si="10"/>
        <v>0</v>
      </c>
      <c r="I137" s="1146"/>
      <c r="J137" s="54">
        <f t="shared" si="11"/>
        <v>0</v>
      </c>
    </row>
    <row r="138" spans="1:10" x14ac:dyDescent="0.25">
      <c r="A138" s="508" t="s">
        <v>273</v>
      </c>
      <c r="B138" s="665"/>
      <c r="C138" s="665"/>
      <c r="D138" s="509"/>
      <c r="E138" s="37">
        <f>'Maximum Rates'!$C$29</f>
        <v>110</v>
      </c>
      <c r="F138" s="34" t="s">
        <v>395</v>
      </c>
      <c r="G138" s="35"/>
      <c r="H138" s="58">
        <f t="shared" si="10"/>
        <v>0</v>
      </c>
      <c r="I138" s="1146"/>
      <c r="J138" s="54">
        <f t="shared" si="11"/>
        <v>0</v>
      </c>
    </row>
    <row r="139" spans="1:10" x14ac:dyDescent="0.25">
      <c r="A139" s="508" t="s">
        <v>274</v>
      </c>
      <c r="B139" s="665"/>
      <c r="C139" s="665"/>
      <c r="D139" s="509"/>
      <c r="E139" s="37">
        <f>'Maximum Rates'!$C$30</f>
        <v>11</v>
      </c>
      <c r="F139" s="34" t="s">
        <v>395</v>
      </c>
      <c r="G139" s="35"/>
      <c r="H139" s="58">
        <f t="shared" si="10"/>
        <v>0</v>
      </c>
      <c r="I139" s="1146">
        <v>1</v>
      </c>
      <c r="J139" s="54">
        <f t="shared" si="11"/>
        <v>11</v>
      </c>
    </row>
    <row r="140" spans="1:10" x14ac:dyDescent="0.25">
      <c r="A140" s="512" t="s">
        <v>700</v>
      </c>
      <c r="B140" s="667"/>
      <c r="C140" s="667"/>
      <c r="D140" s="509"/>
      <c r="E140" s="37">
        <f>'Maximum Rates'!$C$31</f>
        <v>11</v>
      </c>
      <c r="F140" s="34" t="s">
        <v>395</v>
      </c>
      <c r="G140" s="35"/>
      <c r="H140" s="58">
        <f t="shared" si="10"/>
        <v>0</v>
      </c>
      <c r="I140" s="1146"/>
      <c r="J140" s="54">
        <f t="shared" si="11"/>
        <v>0</v>
      </c>
    </row>
    <row r="141" spans="1:10" x14ac:dyDescent="0.25">
      <c r="A141" s="512" t="s">
        <v>76</v>
      </c>
      <c r="B141" s="667"/>
      <c r="C141" s="667"/>
      <c r="D141" s="513"/>
      <c r="E141" s="37">
        <f>'Maximum Rates'!$C$38</f>
        <v>110</v>
      </c>
      <c r="F141" s="34" t="s">
        <v>395</v>
      </c>
      <c r="G141" s="35"/>
      <c r="H141" s="58">
        <f t="shared" si="10"/>
        <v>0</v>
      </c>
      <c r="I141" s="1146"/>
      <c r="J141" s="54">
        <f t="shared" si="11"/>
        <v>0</v>
      </c>
    </row>
    <row r="142" spans="1:10" x14ac:dyDescent="0.25">
      <c r="A142" s="508" t="s">
        <v>275</v>
      </c>
      <c r="B142" s="665"/>
      <c r="C142" s="665"/>
      <c r="D142" s="509"/>
      <c r="E142" s="37">
        <f>'Maximum Rates'!$C$33</f>
        <v>11</v>
      </c>
      <c r="F142" s="34" t="s">
        <v>395</v>
      </c>
      <c r="G142" s="35"/>
      <c r="H142" s="58">
        <f t="shared" si="10"/>
        <v>0</v>
      </c>
      <c r="I142" s="1146"/>
      <c r="J142" s="54">
        <f t="shared" si="11"/>
        <v>0</v>
      </c>
    </row>
    <row r="143" spans="1:10" x14ac:dyDescent="0.25">
      <c r="A143" s="512" t="s">
        <v>1094</v>
      </c>
      <c r="B143" s="667"/>
      <c r="C143" s="667"/>
      <c r="D143" s="515"/>
      <c r="E143" s="37">
        <f>'Maximum Rates'!$C$34</f>
        <v>55</v>
      </c>
      <c r="F143" s="34" t="s">
        <v>395</v>
      </c>
      <c r="G143" s="35"/>
      <c r="H143" s="58">
        <f t="shared" si="10"/>
        <v>0</v>
      </c>
      <c r="I143" s="1146">
        <v>1</v>
      </c>
      <c r="J143" s="54">
        <f t="shared" si="11"/>
        <v>55</v>
      </c>
    </row>
    <row r="144" spans="1:10" x14ac:dyDescent="0.25">
      <c r="A144" s="508" t="s">
        <v>276</v>
      </c>
      <c r="B144" s="665"/>
      <c r="C144" s="665"/>
      <c r="D144" s="509"/>
      <c r="E144" s="37">
        <f>'Maximum Rates'!$C$35</f>
        <v>11</v>
      </c>
      <c r="F144" s="34" t="s">
        <v>395</v>
      </c>
      <c r="G144" s="35"/>
      <c r="H144" s="58">
        <f t="shared" si="10"/>
        <v>0</v>
      </c>
      <c r="I144" s="1146"/>
      <c r="J144" s="54">
        <f t="shared" si="11"/>
        <v>0</v>
      </c>
    </row>
    <row r="145" spans="1:10" x14ac:dyDescent="0.25">
      <c r="A145" s="512" t="s">
        <v>697</v>
      </c>
      <c r="B145" s="667"/>
      <c r="C145" s="667"/>
      <c r="D145" s="513"/>
      <c r="E145" s="37">
        <f>'Maximum Rates'!$C$26</f>
        <v>6</v>
      </c>
      <c r="F145" s="34" t="s">
        <v>395</v>
      </c>
      <c r="G145" s="35"/>
      <c r="H145" s="58">
        <f t="shared" si="10"/>
        <v>0</v>
      </c>
      <c r="I145" s="1146"/>
      <c r="J145" s="54">
        <f t="shared" si="11"/>
        <v>0</v>
      </c>
    </row>
    <row r="146" spans="1:10" x14ac:dyDescent="0.25">
      <c r="A146" s="508" t="s">
        <v>278</v>
      </c>
      <c r="B146" s="665"/>
      <c r="C146" s="665"/>
      <c r="D146" s="509"/>
      <c r="E146" s="37">
        <f>'Maximum Rates'!$C$37</f>
        <v>11</v>
      </c>
      <c r="F146" s="34" t="s">
        <v>395</v>
      </c>
      <c r="G146" s="35"/>
      <c r="H146" s="58">
        <f t="shared" si="10"/>
        <v>0</v>
      </c>
      <c r="I146" s="1146"/>
      <c r="J146" s="54">
        <f t="shared" si="11"/>
        <v>0</v>
      </c>
    </row>
    <row r="147" spans="1:10" x14ac:dyDescent="0.25">
      <c r="A147" s="508"/>
      <c r="B147" s="665"/>
      <c r="C147" s="665"/>
      <c r="D147" s="509"/>
      <c r="E147" s="37"/>
      <c r="F147" s="34" t="s">
        <v>395</v>
      </c>
      <c r="G147" s="35"/>
      <c r="H147" s="58">
        <f t="shared" si="10"/>
        <v>0</v>
      </c>
      <c r="I147" s="1146"/>
      <c r="J147" s="54">
        <f t="shared" si="11"/>
        <v>0</v>
      </c>
    </row>
    <row r="148" spans="1:10" x14ac:dyDescent="0.25">
      <c r="A148" s="508" t="s">
        <v>279</v>
      </c>
      <c r="B148" s="665"/>
      <c r="C148" s="665"/>
      <c r="D148" s="509"/>
      <c r="E148" s="37">
        <f>'Maximum Rates'!$C$39</f>
        <v>11</v>
      </c>
      <c r="F148" s="34" t="s">
        <v>395</v>
      </c>
      <c r="G148" s="35"/>
      <c r="H148" s="58">
        <f t="shared" si="10"/>
        <v>0</v>
      </c>
      <c r="I148" s="1146"/>
      <c r="J148" s="54">
        <f t="shared" si="11"/>
        <v>0</v>
      </c>
    </row>
    <row r="149" spans="1:10" x14ac:dyDescent="0.25">
      <c r="A149" s="508" t="s">
        <v>280</v>
      </c>
      <c r="B149" s="665"/>
      <c r="C149" s="665"/>
      <c r="D149" s="509"/>
      <c r="E149" s="37">
        <f>'Maximum Rates'!$C$40</f>
        <v>11</v>
      </c>
      <c r="F149" s="34" t="s">
        <v>395</v>
      </c>
      <c r="G149" s="35"/>
      <c r="H149" s="58">
        <f t="shared" si="10"/>
        <v>0</v>
      </c>
      <c r="I149" s="1146"/>
      <c r="J149" s="54">
        <f t="shared" si="11"/>
        <v>0</v>
      </c>
    </row>
    <row r="150" spans="1:10" ht="13.8" thickBot="1" x14ac:dyDescent="0.3">
      <c r="A150" s="512" t="s">
        <v>1095</v>
      </c>
      <c r="B150" s="667"/>
      <c r="C150" s="667"/>
      <c r="D150" s="509"/>
      <c r="E150" s="37">
        <f>'Maximum Rates'!$C$45</f>
        <v>17</v>
      </c>
      <c r="F150" s="34" t="s">
        <v>395</v>
      </c>
      <c r="G150" s="35"/>
      <c r="H150" s="58">
        <f t="shared" si="10"/>
        <v>0</v>
      </c>
      <c r="I150" s="56">
        <v>1</v>
      </c>
      <c r="J150" s="74">
        <f t="shared" si="11"/>
        <v>17</v>
      </c>
    </row>
    <row r="151" spans="1:10" ht="16.2" thickBot="1" x14ac:dyDescent="0.35">
      <c r="A151" s="522"/>
      <c r="B151" s="669"/>
      <c r="C151" s="669"/>
      <c r="D151" s="529" t="s">
        <v>331</v>
      </c>
      <c r="E151" s="55"/>
      <c r="F151" s="533"/>
      <c r="G151" s="534"/>
      <c r="H151" s="75">
        <f>SUM(H130:H150)</f>
        <v>55</v>
      </c>
      <c r="I151" s="530"/>
      <c r="J151" s="599">
        <f>SUM(J130:J150)</f>
        <v>83</v>
      </c>
    </row>
    <row r="152" spans="1:10" x14ac:dyDescent="0.25">
      <c r="J152" s="24"/>
    </row>
    <row r="153" spans="1:10" x14ac:dyDescent="0.25">
      <c r="J153" s="24"/>
    </row>
  </sheetData>
  <sheetProtection algorithmName="SHA-512" hashValue="KFrQsx+/LMFbkQlVSV72fQ6fuiNjELagR2LOfVFtOIle14rwQUr4olOCuS2ivyd0l5M5eFmXZ08chxoijxlFsg==" saltValue="BPhjFPLCQlVtOKv5kXVCEQ==" spinCount="100000" sheet="1" selectLockedCells="1"/>
  <customSheetViews>
    <customSheetView guid="{BC429C65-53B8-4F97-88D2-74ECCD734800}" showGridLines="0" showRowCol="0" state="hidden">
      <selection activeCell="H2" sqref="H2"/>
      <rowBreaks count="2" manualBreakCount="2">
        <brk id="58" min="1" max="8" man="1"/>
        <brk id="112" max="16383" man="1"/>
      </rowBreaks>
      <pageMargins left="0.7" right="0.7" top="0.75" bottom="0.25" header="0.3" footer="0.3"/>
      <printOptions horizontalCentered="1" verticalCentered="1"/>
      <pageSetup scale="94" orientation="portrait" r:id="rId1"/>
    </customSheetView>
  </customSheetViews>
  <mergeCells count="30">
    <mergeCell ref="G128:H128"/>
    <mergeCell ref="I128:J128"/>
    <mergeCell ref="A128:D129"/>
    <mergeCell ref="E128:E129"/>
    <mergeCell ref="F128:F129"/>
    <mergeCell ref="A103:D104"/>
    <mergeCell ref="E79:E80"/>
    <mergeCell ref="F79:F80"/>
    <mergeCell ref="G79:H79"/>
    <mergeCell ref="I79:J79"/>
    <mergeCell ref="E103:E104"/>
    <mergeCell ref="F103:F104"/>
    <mergeCell ref="G103:H103"/>
    <mergeCell ref="I103:J103"/>
    <mergeCell ref="A79:D80"/>
    <mergeCell ref="G54:H54"/>
    <mergeCell ref="I54:J54"/>
    <mergeCell ref="A54:D55"/>
    <mergeCell ref="E54:E55"/>
    <mergeCell ref="F54:F55"/>
    <mergeCell ref="A30:D31"/>
    <mergeCell ref="E30:E31"/>
    <mergeCell ref="F30:F31"/>
    <mergeCell ref="G30:H30"/>
    <mergeCell ref="I30:J30"/>
    <mergeCell ref="A1:D2"/>
    <mergeCell ref="E1:E2"/>
    <mergeCell ref="F1:F2"/>
    <mergeCell ref="G1:H1"/>
    <mergeCell ref="I1:J1"/>
  </mergeCells>
  <printOptions horizontalCentered="1" verticalCentered="1"/>
  <pageMargins left="0.25" right="0.25" top="0.75" bottom="0.25" header="0.17" footer="0.3"/>
  <pageSetup scale="99" orientation="portrait" r:id="rId2"/>
  <headerFooter>
    <oddHeader>&amp;C&amp;18Equipment Kits</oddHeader>
  </headerFooter>
  <rowBreaks count="2" manualBreakCount="2">
    <brk id="53" max="16383" man="1"/>
    <brk id="10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indexed="13"/>
  </sheetPr>
  <dimension ref="B1:M87"/>
  <sheetViews>
    <sheetView showGridLines="0" showRowColHeaders="0" showRuler="0" zoomScale="130" zoomScaleNormal="130" zoomScalePageLayoutView="130" workbookViewId="0">
      <selection activeCell="D5" sqref="D5"/>
    </sheetView>
  </sheetViews>
  <sheetFormatPr defaultColWidth="11.44140625" defaultRowHeight="13.2" x14ac:dyDescent="0.25"/>
  <cols>
    <col min="1" max="1" width="0.88671875" style="138" customWidth="1"/>
    <col min="2" max="2" width="32.5546875" style="138" customWidth="1"/>
    <col min="3" max="3" width="7.6640625" style="138" customWidth="1"/>
    <col min="4" max="4" width="7.33203125" style="336" customWidth="1"/>
    <col min="5" max="5" width="2.6640625" style="336" customWidth="1"/>
    <col min="6" max="6" width="0.88671875" style="336" hidden="1" customWidth="1"/>
    <col min="7" max="7" width="13.33203125" style="138" customWidth="1"/>
    <col min="8" max="8" width="5" style="138" customWidth="1"/>
    <col min="9" max="9" width="12" style="138" customWidth="1"/>
    <col min="10" max="10" width="1.88671875" style="138" customWidth="1"/>
    <col min="11" max="11" width="7.6640625" style="138" customWidth="1"/>
    <col min="12" max="12" width="9.33203125" style="336" customWidth="1"/>
    <col min="13" max="13" width="7.109375" style="138" customWidth="1"/>
    <col min="14" max="16384" width="11.44140625" style="138"/>
  </cols>
  <sheetData>
    <row r="1" spans="2:13" ht="17.100000000000001" customHeight="1" thickBot="1" x14ac:dyDescent="0.3"/>
    <row r="2" spans="2:13" ht="42" customHeight="1" thickBot="1" x14ac:dyDescent="0.45">
      <c r="B2" s="775" t="s">
        <v>1442</v>
      </c>
      <c r="C2" s="776"/>
      <c r="D2" s="776"/>
      <c r="E2" s="1713"/>
      <c r="F2" s="776"/>
      <c r="G2" s="776"/>
      <c r="H2" s="776"/>
      <c r="I2" s="776"/>
      <c r="J2" s="776"/>
      <c r="K2" s="776"/>
      <c r="L2" s="777"/>
      <c r="M2" s="1688"/>
    </row>
    <row r="3" spans="2:13" ht="13.8" thickBot="1" x14ac:dyDescent="0.3"/>
    <row r="4" spans="2:13" ht="18" thickBot="1" x14ac:dyDescent="0.35">
      <c r="B4" s="1525" t="s">
        <v>1298</v>
      </c>
      <c r="C4" s="1523"/>
      <c r="D4" s="1524"/>
      <c r="G4" s="2302" t="s">
        <v>341</v>
      </c>
      <c r="H4" s="2303"/>
      <c r="I4" s="2303"/>
      <c r="J4" s="2303"/>
      <c r="K4" s="2303"/>
      <c r="L4" s="2304"/>
      <c r="M4" s="341"/>
    </row>
    <row r="5" spans="2:13" x14ac:dyDescent="0.25">
      <c r="B5" s="339" t="s">
        <v>373</v>
      </c>
      <c r="C5" s="340"/>
      <c r="D5" s="1531">
        <v>122</v>
      </c>
      <c r="G5" s="2307"/>
      <c r="H5" s="2308"/>
      <c r="I5" s="2308"/>
      <c r="J5" s="2308"/>
      <c r="K5" s="2308"/>
      <c r="L5" s="2309"/>
    </row>
    <row r="6" spans="2:13" x14ac:dyDescent="0.25">
      <c r="B6" s="342" t="s">
        <v>357</v>
      </c>
      <c r="C6" s="343"/>
      <c r="D6" s="1532">
        <v>140</v>
      </c>
      <c r="E6" s="347"/>
      <c r="F6" s="348"/>
      <c r="G6" s="2305"/>
      <c r="H6" s="2306"/>
      <c r="I6" s="323"/>
      <c r="J6" s="345"/>
      <c r="K6" s="349" t="s">
        <v>287</v>
      </c>
      <c r="L6" s="350" t="s">
        <v>288</v>
      </c>
    </row>
    <row r="7" spans="2:13" x14ac:dyDescent="0.25">
      <c r="B7" s="344" t="s">
        <v>358</v>
      </c>
      <c r="C7" s="345"/>
      <c r="D7" s="1533">
        <v>102</v>
      </c>
      <c r="E7" s="347"/>
      <c r="F7" s="348"/>
      <c r="G7" s="2282" t="s">
        <v>418</v>
      </c>
      <c r="H7" s="2283"/>
      <c r="J7" s="351"/>
      <c r="K7" s="352"/>
      <c r="L7" s="346"/>
    </row>
    <row r="8" spans="2:13" x14ac:dyDescent="0.25">
      <c r="B8" s="342" t="s">
        <v>28</v>
      </c>
      <c r="C8" s="343"/>
      <c r="D8" s="1533">
        <v>95</v>
      </c>
      <c r="E8" s="347"/>
      <c r="F8" s="348"/>
      <c r="G8" s="2282"/>
      <c r="H8" s="2283"/>
      <c r="I8" s="999" t="s">
        <v>289</v>
      </c>
      <c r="J8" s="351"/>
      <c r="K8" s="1535">
        <v>65</v>
      </c>
      <c r="L8" s="1533">
        <v>65</v>
      </c>
    </row>
    <row r="9" spans="2:13" x14ac:dyDescent="0.25">
      <c r="B9" s="342" t="s">
        <v>398</v>
      </c>
      <c r="C9" s="343"/>
      <c r="D9" s="1533">
        <v>74</v>
      </c>
      <c r="E9" s="347"/>
      <c r="F9" s="348"/>
      <c r="G9" s="2282"/>
      <c r="H9" s="2283"/>
      <c r="I9" s="999"/>
      <c r="J9" s="351"/>
      <c r="K9" s="352"/>
      <c r="L9" s="346"/>
    </row>
    <row r="10" spans="2:13" x14ac:dyDescent="0.25">
      <c r="B10" s="342" t="s">
        <v>444</v>
      </c>
      <c r="C10" s="343"/>
      <c r="D10" s="1533">
        <v>74</v>
      </c>
      <c r="E10" s="347"/>
      <c r="F10" s="348"/>
      <c r="G10" s="2305" t="s">
        <v>419</v>
      </c>
      <c r="H10" s="2306"/>
      <c r="I10" s="356"/>
      <c r="J10" s="345"/>
      <c r="K10" s="1536"/>
      <c r="L10" s="346"/>
    </row>
    <row r="11" spans="2:13" ht="13.8" thickBot="1" x14ac:dyDescent="0.3">
      <c r="B11" s="353" t="s">
        <v>374</v>
      </c>
      <c r="C11" s="354"/>
      <c r="D11" s="1534">
        <v>60</v>
      </c>
      <c r="G11" s="2287"/>
      <c r="H11" s="2288"/>
      <c r="I11" s="358">
        <v>8270</v>
      </c>
      <c r="J11" s="359"/>
      <c r="K11" s="1536">
        <v>130</v>
      </c>
      <c r="L11" s="1533">
        <v>130</v>
      </c>
    </row>
    <row r="12" spans="2:13" ht="13.8" thickBot="1" x14ac:dyDescent="0.3">
      <c r="B12" s="151" t="s">
        <v>1310</v>
      </c>
      <c r="G12" s="2305" t="s">
        <v>282</v>
      </c>
      <c r="H12" s="2306"/>
      <c r="I12" s="356">
        <v>525.1</v>
      </c>
      <c r="J12" s="345"/>
      <c r="K12" s="1536">
        <v>275</v>
      </c>
      <c r="L12" s="346"/>
    </row>
    <row r="13" spans="2:13" x14ac:dyDescent="0.25">
      <c r="B13" s="362" t="s">
        <v>764</v>
      </c>
      <c r="C13" s="337"/>
      <c r="D13" s="1531">
        <v>19</v>
      </c>
      <c r="G13" s="360"/>
      <c r="H13" s="361"/>
      <c r="I13" s="361"/>
      <c r="J13" s="359"/>
      <c r="L13" s="346"/>
    </row>
    <row r="14" spans="2:13" x14ac:dyDescent="0.25">
      <c r="B14" s="363" t="s">
        <v>765</v>
      </c>
      <c r="D14" s="1533">
        <v>47</v>
      </c>
      <c r="G14" s="2305" t="s">
        <v>281</v>
      </c>
      <c r="H14" s="2306"/>
      <c r="I14" s="356">
        <v>524.20000000000005</v>
      </c>
      <c r="J14" s="345"/>
      <c r="K14" s="1536">
        <v>150</v>
      </c>
      <c r="L14" s="346"/>
    </row>
    <row r="15" spans="2:13" x14ac:dyDescent="0.25">
      <c r="B15" s="363" t="s">
        <v>1423</v>
      </c>
      <c r="D15" s="1533">
        <v>68</v>
      </c>
      <c r="G15" s="360"/>
      <c r="H15" s="361"/>
      <c r="I15" s="358">
        <v>8260</v>
      </c>
      <c r="J15" s="359"/>
      <c r="K15" s="1536">
        <v>65</v>
      </c>
      <c r="L15" s="346"/>
    </row>
    <row r="16" spans="2:13" ht="13.8" thickBot="1" x14ac:dyDescent="0.3">
      <c r="B16" s="353" t="s">
        <v>1417</v>
      </c>
      <c r="C16" s="141"/>
      <c r="D16" s="1534">
        <v>150</v>
      </c>
      <c r="F16" s="364"/>
      <c r="G16" s="2305" t="s">
        <v>695</v>
      </c>
      <c r="H16" s="2306"/>
      <c r="I16" s="356"/>
      <c r="J16" s="345"/>
      <c r="K16" s="347"/>
      <c r="L16" s="346"/>
    </row>
    <row r="17" spans="2:12" ht="13.8" thickBot="1" x14ac:dyDescent="0.3">
      <c r="G17" s="363" t="s">
        <v>852</v>
      </c>
      <c r="I17" s="999">
        <v>504.1</v>
      </c>
      <c r="J17" s="351"/>
      <c r="K17" s="1536">
        <v>65</v>
      </c>
      <c r="L17" s="364"/>
    </row>
    <row r="18" spans="2:12" x14ac:dyDescent="0.25">
      <c r="B18" s="362" t="s">
        <v>427</v>
      </c>
      <c r="C18" s="1541">
        <v>8</v>
      </c>
      <c r="D18" s="365" t="s">
        <v>98</v>
      </c>
      <c r="E18" s="366"/>
      <c r="G18" s="68"/>
      <c r="I18" s="999">
        <v>524.20000000000005</v>
      </c>
      <c r="J18" s="351"/>
      <c r="K18" s="1537">
        <v>150</v>
      </c>
      <c r="L18" s="346"/>
    </row>
    <row r="19" spans="2:12" x14ac:dyDescent="0.25">
      <c r="B19" s="363" t="s">
        <v>548</v>
      </c>
      <c r="C19" s="1542">
        <v>75</v>
      </c>
      <c r="D19" s="429" t="s">
        <v>98</v>
      </c>
      <c r="G19" s="360"/>
      <c r="H19" s="361"/>
      <c r="I19" s="358">
        <v>8011</v>
      </c>
      <c r="J19" s="359"/>
      <c r="K19" s="1536">
        <v>65</v>
      </c>
      <c r="L19" s="346"/>
    </row>
    <row r="20" spans="2:12" x14ac:dyDescent="0.25">
      <c r="B20" s="363" t="s">
        <v>992</v>
      </c>
      <c r="C20" s="1543">
        <v>55</v>
      </c>
      <c r="D20" s="429" t="s">
        <v>612</v>
      </c>
      <c r="G20" s="367" t="s">
        <v>718</v>
      </c>
      <c r="H20" s="323"/>
      <c r="I20" s="368">
        <v>8260</v>
      </c>
      <c r="J20" s="345"/>
      <c r="K20" s="1538">
        <v>65</v>
      </c>
      <c r="L20" s="1540">
        <v>65</v>
      </c>
    </row>
    <row r="21" spans="2:12" x14ac:dyDescent="0.25">
      <c r="B21" s="369" t="s">
        <v>332</v>
      </c>
      <c r="C21" s="1544">
        <v>28</v>
      </c>
      <c r="D21" s="370" t="s">
        <v>395</v>
      </c>
      <c r="F21" s="371"/>
      <c r="G21" s="363" t="s">
        <v>853</v>
      </c>
      <c r="H21" s="372"/>
      <c r="I21" s="999">
        <v>504.1</v>
      </c>
      <c r="J21" s="351"/>
      <c r="K21" s="1694">
        <v>65</v>
      </c>
      <c r="L21" s="346"/>
    </row>
    <row r="22" spans="2:12" x14ac:dyDescent="0.25">
      <c r="B22" s="369" t="s">
        <v>333</v>
      </c>
      <c r="C22" s="1545">
        <v>55</v>
      </c>
      <c r="D22" s="373" t="s">
        <v>395</v>
      </c>
      <c r="F22" s="371"/>
      <c r="G22" s="68"/>
      <c r="I22" s="999">
        <v>524.20000000000005</v>
      </c>
      <c r="J22" s="351"/>
      <c r="K22" s="1539">
        <v>150</v>
      </c>
      <c r="L22" s="346"/>
    </row>
    <row r="23" spans="2:12" x14ac:dyDescent="0.25">
      <c r="B23" s="369" t="s">
        <v>270</v>
      </c>
      <c r="C23" s="1545">
        <v>11</v>
      </c>
      <c r="D23" s="373" t="s">
        <v>395</v>
      </c>
      <c r="F23" s="371"/>
      <c r="G23" s="360"/>
      <c r="H23" s="374"/>
      <c r="I23" s="375"/>
      <c r="J23" s="359"/>
      <c r="L23" s="376"/>
    </row>
    <row r="24" spans="2:12" x14ac:dyDescent="0.25">
      <c r="B24" s="369" t="s">
        <v>271</v>
      </c>
      <c r="C24" s="1545">
        <v>11</v>
      </c>
      <c r="D24" s="373" t="s">
        <v>395</v>
      </c>
      <c r="F24" s="371"/>
      <c r="G24" s="2282"/>
      <c r="H24" s="2283"/>
      <c r="J24" s="351"/>
      <c r="K24" s="352"/>
      <c r="L24" s="346"/>
    </row>
    <row r="25" spans="2:12" x14ac:dyDescent="0.25">
      <c r="B25" s="369" t="s">
        <v>272</v>
      </c>
      <c r="C25" s="1545">
        <v>11</v>
      </c>
      <c r="D25" s="373" t="s">
        <v>395</v>
      </c>
      <c r="F25" s="371"/>
      <c r="G25" s="363" t="s">
        <v>1415</v>
      </c>
      <c r="H25" s="372"/>
      <c r="I25" s="805"/>
      <c r="J25" s="351"/>
      <c r="K25" s="1535"/>
      <c r="L25" s="1533"/>
    </row>
    <row r="26" spans="2:12" x14ac:dyDescent="0.25">
      <c r="B26" s="369" t="s">
        <v>697</v>
      </c>
      <c r="C26" s="1546">
        <v>6</v>
      </c>
      <c r="D26" s="377" t="s">
        <v>395</v>
      </c>
      <c r="E26" s="378"/>
      <c r="F26" s="371"/>
      <c r="G26" s="2287"/>
      <c r="H26" s="2288"/>
      <c r="I26" s="358">
        <v>6020</v>
      </c>
      <c r="J26" s="359"/>
      <c r="K26" s="1535">
        <v>15</v>
      </c>
      <c r="L26" s="1533">
        <v>15</v>
      </c>
    </row>
    <row r="27" spans="2:12" x14ac:dyDescent="0.25">
      <c r="B27" s="379" t="s">
        <v>167</v>
      </c>
      <c r="C27" s="1545">
        <v>28</v>
      </c>
      <c r="D27" s="373" t="s">
        <v>395</v>
      </c>
      <c r="F27" s="371"/>
      <c r="G27" s="2305" t="s">
        <v>290</v>
      </c>
      <c r="H27" s="2306"/>
      <c r="I27" s="356"/>
      <c r="J27" s="345"/>
      <c r="K27" s="380"/>
      <c r="L27" s="346"/>
    </row>
    <row r="28" spans="2:12" x14ac:dyDescent="0.25">
      <c r="B28" s="369" t="s">
        <v>43</v>
      </c>
      <c r="C28" s="1545">
        <v>33</v>
      </c>
      <c r="D28" s="373" t="s">
        <v>395</v>
      </c>
      <c r="F28" s="371"/>
      <c r="G28" s="2282"/>
      <c r="H28" s="2283"/>
      <c r="I28" s="999"/>
      <c r="J28" s="351"/>
      <c r="K28" s="380"/>
      <c r="L28" s="1533"/>
    </row>
    <row r="29" spans="2:12" x14ac:dyDescent="0.25">
      <c r="B29" s="369" t="s">
        <v>97</v>
      </c>
      <c r="C29" s="1545">
        <v>110</v>
      </c>
      <c r="D29" s="373" t="s">
        <v>395</v>
      </c>
      <c r="F29" s="371"/>
      <c r="G29" s="2282"/>
      <c r="H29" s="2283"/>
      <c r="I29" s="999">
        <v>9071</v>
      </c>
      <c r="J29" s="351"/>
      <c r="K29" s="380"/>
      <c r="L29" s="1533">
        <v>50</v>
      </c>
    </row>
    <row r="30" spans="2:12" x14ac:dyDescent="0.25">
      <c r="B30" s="369" t="s">
        <v>274</v>
      </c>
      <c r="C30" s="1545">
        <v>11</v>
      </c>
      <c r="D30" s="373" t="s">
        <v>395</v>
      </c>
      <c r="F30" s="371"/>
      <c r="G30" s="2280"/>
      <c r="H30" s="2281"/>
      <c r="I30" s="334" t="s">
        <v>961</v>
      </c>
      <c r="J30" s="351"/>
      <c r="K30" s="380"/>
      <c r="L30" s="1533">
        <v>80</v>
      </c>
    </row>
    <row r="31" spans="2:12" x14ac:dyDescent="0.25">
      <c r="B31" s="369" t="s">
        <v>703</v>
      </c>
      <c r="C31" s="1545">
        <v>11</v>
      </c>
      <c r="D31" s="373" t="s">
        <v>395</v>
      </c>
      <c r="F31" s="371"/>
      <c r="G31" s="2282"/>
      <c r="H31" s="2283"/>
      <c r="I31" s="999" t="s">
        <v>962</v>
      </c>
      <c r="J31" s="351"/>
      <c r="K31" s="380"/>
      <c r="L31" s="1533">
        <v>95</v>
      </c>
    </row>
    <row r="32" spans="2:12" x14ac:dyDescent="0.25">
      <c r="B32" s="369" t="s">
        <v>326</v>
      </c>
      <c r="C32" s="1545">
        <v>11</v>
      </c>
      <c r="D32" s="373" t="s">
        <v>395</v>
      </c>
      <c r="F32" s="371"/>
      <c r="G32" s="2287"/>
      <c r="H32" s="2288"/>
      <c r="I32" s="358"/>
      <c r="J32" s="381"/>
      <c r="K32" s="380"/>
      <c r="L32" s="995"/>
    </row>
    <row r="33" spans="2:12" x14ac:dyDescent="0.25">
      <c r="B33" s="369" t="s">
        <v>275</v>
      </c>
      <c r="C33" s="1545">
        <v>11</v>
      </c>
      <c r="D33" s="373" t="s">
        <v>395</v>
      </c>
      <c r="F33" s="371"/>
      <c r="G33" s="2284" t="s">
        <v>342</v>
      </c>
      <c r="H33" s="2285"/>
      <c r="I33" s="277" t="s">
        <v>855</v>
      </c>
      <c r="J33" s="343"/>
      <c r="K33" s="1535">
        <v>50</v>
      </c>
      <c r="L33" s="346"/>
    </row>
    <row r="34" spans="2:12" x14ac:dyDescent="0.25">
      <c r="B34" s="382" t="s">
        <v>573</v>
      </c>
      <c r="C34" s="1545">
        <v>55</v>
      </c>
      <c r="D34" s="373" t="s">
        <v>395</v>
      </c>
      <c r="F34" s="371"/>
      <c r="G34" s="1526" t="s">
        <v>291</v>
      </c>
      <c r="H34" s="1527"/>
      <c r="I34" s="383" t="s">
        <v>851</v>
      </c>
      <c r="J34" s="357"/>
      <c r="K34" s="1535">
        <v>20</v>
      </c>
      <c r="L34" s="346"/>
    </row>
    <row r="35" spans="2:12" x14ac:dyDescent="0.25">
      <c r="B35" s="369" t="s">
        <v>276</v>
      </c>
      <c r="C35" s="1547">
        <v>11</v>
      </c>
      <c r="D35" s="373" t="s">
        <v>395</v>
      </c>
      <c r="F35" s="371"/>
      <c r="G35" s="1526" t="s">
        <v>226</v>
      </c>
      <c r="H35" s="1527"/>
      <c r="I35" s="1684"/>
      <c r="J35" s="343"/>
      <c r="K35" s="1535">
        <v>40</v>
      </c>
      <c r="L35" s="346"/>
    </row>
    <row r="36" spans="2:12" x14ac:dyDescent="0.25">
      <c r="B36" s="369" t="s">
        <v>277</v>
      </c>
      <c r="C36" s="1545">
        <v>28</v>
      </c>
      <c r="D36" s="373" t="s">
        <v>395</v>
      </c>
      <c r="F36" s="371"/>
      <c r="G36" s="2284" t="s">
        <v>767</v>
      </c>
      <c r="H36" s="2285"/>
      <c r="I36" s="277" t="s">
        <v>850</v>
      </c>
      <c r="J36" s="343"/>
      <c r="K36" s="1535">
        <v>40</v>
      </c>
      <c r="L36" s="346"/>
    </row>
    <row r="37" spans="2:12" x14ac:dyDescent="0.25">
      <c r="B37" s="369" t="s">
        <v>278</v>
      </c>
      <c r="C37" s="1545">
        <v>11</v>
      </c>
      <c r="D37" s="373" t="s">
        <v>395</v>
      </c>
      <c r="F37" s="371"/>
      <c r="G37" s="1526" t="s">
        <v>304</v>
      </c>
      <c r="H37" s="1527"/>
      <c r="I37" s="277" t="s">
        <v>849</v>
      </c>
      <c r="J37" s="343"/>
      <c r="K37" s="1535">
        <v>15</v>
      </c>
      <c r="L37" s="346"/>
    </row>
    <row r="38" spans="2:12" x14ac:dyDescent="0.25">
      <c r="B38" s="369" t="s">
        <v>76</v>
      </c>
      <c r="C38" s="1545">
        <v>110</v>
      </c>
      <c r="D38" s="373" t="s">
        <v>395</v>
      </c>
      <c r="F38" s="371"/>
      <c r="G38" s="2284" t="s">
        <v>848</v>
      </c>
      <c r="H38" s="2285"/>
      <c r="I38" s="277" t="s">
        <v>854</v>
      </c>
      <c r="J38" s="343"/>
      <c r="K38" s="1535">
        <v>20</v>
      </c>
      <c r="L38" s="346"/>
    </row>
    <row r="39" spans="2:12" x14ac:dyDescent="0.25">
      <c r="B39" s="369" t="s">
        <v>279</v>
      </c>
      <c r="C39" s="1545">
        <v>11</v>
      </c>
      <c r="D39" s="373" t="s">
        <v>395</v>
      </c>
      <c r="F39" s="371"/>
      <c r="G39" s="2284" t="s">
        <v>305</v>
      </c>
      <c r="H39" s="2285"/>
      <c r="I39" s="385"/>
      <c r="J39" s="343"/>
      <c r="K39" s="1535">
        <v>20</v>
      </c>
      <c r="L39" s="346"/>
    </row>
    <row r="40" spans="2:12" x14ac:dyDescent="0.25">
      <c r="B40" s="369" t="s">
        <v>280</v>
      </c>
      <c r="C40" s="1545">
        <v>11</v>
      </c>
      <c r="D40" s="373" t="s">
        <v>395</v>
      </c>
      <c r="F40" s="371"/>
      <c r="G40" s="2284" t="s">
        <v>306</v>
      </c>
      <c r="H40" s="2285"/>
      <c r="I40" s="385"/>
      <c r="J40" s="357"/>
      <c r="K40" s="1535">
        <v>20</v>
      </c>
      <c r="L40" s="346"/>
    </row>
    <row r="41" spans="2:12" x14ac:dyDescent="0.25">
      <c r="B41" s="369" t="s">
        <v>168</v>
      </c>
      <c r="C41" s="1547">
        <v>28</v>
      </c>
      <c r="D41" s="386" t="s">
        <v>612</v>
      </c>
      <c r="F41" s="371"/>
      <c r="G41" s="2284" t="s">
        <v>307</v>
      </c>
      <c r="H41" s="2285"/>
      <c r="I41" s="1683"/>
      <c r="J41" s="343"/>
      <c r="K41" s="1535">
        <v>20</v>
      </c>
      <c r="L41" s="346"/>
    </row>
    <row r="42" spans="2:12" x14ac:dyDescent="0.25">
      <c r="B42" s="369" t="s">
        <v>791</v>
      </c>
      <c r="C42" s="1547">
        <v>12</v>
      </c>
      <c r="D42" s="386" t="s">
        <v>702</v>
      </c>
      <c r="F42" s="371"/>
      <c r="G42" s="1690" t="s">
        <v>1408</v>
      </c>
      <c r="H42" s="1691"/>
      <c r="I42" s="1689"/>
      <c r="J42" s="343"/>
      <c r="K42" s="1535">
        <v>100</v>
      </c>
      <c r="L42" s="346"/>
    </row>
    <row r="43" spans="2:12" x14ac:dyDescent="0.25">
      <c r="B43" s="369" t="s">
        <v>993</v>
      </c>
      <c r="C43" s="1547">
        <v>28</v>
      </c>
      <c r="D43" s="386" t="s">
        <v>395</v>
      </c>
      <c r="F43" s="371"/>
      <c r="G43" s="387" t="s">
        <v>1409</v>
      </c>
      <c r="H43" s="1684"/>
      <c r="I43" s="277"/>
      <c r="J43" s="343"/>
      <c r="K43" s="1548">
        <v>100</v>
      </c>
      <c r="L43" s="346"/>
    </row>
    <row r="44" spans="2:12" x14ac:dyDescent="0.25">
      <c r="B44" s="369" t="s">
        <v>985</v>
      </c>
      <c r="C44" s="1547">
        <v>275</v>
      </c>
      <c r="D44" s="390" t="s">
        <v>984</v>
      </c>
      <c r="F44" s="371"/>
      <c r="G44" s="387" t="s">
        <v>77</v>
      </c>
      <c r="H44" s="388"/>
      <c r="I44" s="277" t="s">
        <v>1416</v>
      </c>
      <c r="J44" s="343"/>
      <c r="K44" s="1548">
        <v>65</v>
      </c>
      <c r="L44" s="346"/>
    </row>
    <row r="45" spans="2:12" x14ac:dyDescent="0.25">
      <c r="B45" s="369" t="s">
        <v>1095</v>
      </c>
      <c r="C45" s="1547">
        <v>17</v>
      </c>
      <c r="D45" s="386" t="s">
        <v>395</v>
      </c>
      <c r="F45" s="371"/>
      <c r="G45" s="387" t="s">
        <v>78</v>
      </c>
      <c r="H45" s="388"/>
      <c r="I45" s="385"/>
      <c r="J45" s="343"/>
      <c r="K45" s="1692">
        <v>65</v>
      </c>
      <c r="L45" s="346"/>
    </row>
    <row r="46" spans="2:12" x14ac:dyDescent="0.25">
      <c r="B46" s="369" t="s">
        <v>1147</v>
      </c>
      <c r="C46" s="1549">
        <v>1.5</v>
      </c>
      <c r="D46" s="386" t="s">
        <v>1148</v>
      </c>
      <c r="F46" s="371"/>
      <c r="G46" s="387"/>
      <c r="H46" s="388"/>
      <c r="I46" s="385"/>
      <c r="J46" s="343"/>
      <c r="K46" s="389"/>
      <c r="L46" s="346"/>
    </row>
    <row r="47" spans="2:12" x14ac:dyDescent="0.25">
      <c r="B47" s="369" t="s">
        <v>1407</v>
      </c>
      <c r="C47" s="384">
        <v>14.5</v>
      </c>
      <c r="D47" s="386" t="s">
        <v>702</v>
      </c>
      <c r="F47" s="371"/>
      <c r="G47" s="387" t="s">
        <v>837</v>
      </c>
      <c r="H47" s="388"/>
      <c r="I47" s="385"/>
      <c r="J47" s="343"/>
      <c r="K47" s="391"/>
      <c r="L47" s="346"/>
    </row>
    <row r="48" spans="2:12" x14ac:dyDescent="0.25">
      <c r="B48" s="369"/>
      <c r="C48" s="384"/>
      <c r="D48" s="373"/>
      <c r="F48" s="371"/>
      <c r="G48" s="387" t="s">
        <v>838</v>
      </c>
      <c r="H48" s="388"/>
      <c r="I48" s="277"/>
      <c r="J48" s="343"/>
      <c r="K48" s="392"/>
      <c r="L48" s="346"/>
    </row>
    <row r="49" spans="2:12" x14ac:dyDescent="0.25">
      <c r="B49" s="369"/>
      <c r="C49" s="384"/>
      <c r="D49" s="373"/>
      <c r="F49" s="371"/>
      <c r="G49" s="387" t="s">
        <v>835</v>
      </c>
      <c r="H49" s="388"/>
      <c r="I49" s="385"/>
      <c r="J49" s="343"/>
      <c r="K49" s="391"/>
      <c r="L49" s="346"/>
    </row>
    <row r="50" spans="2:12" ht="13.8" thickBot="1" x14ac:dyDescent="0.3">
      <c r="B50" s="393"/>
      <c r="C50" s="394"/>
      <c r="D50" s="395"/>
      <c r="F50" s="371"/>
      <c r="G50" s="396" t="s">
        <v>836</v>
      </c>
      <c r="H50" s="397"/>
      <c r="I50" s="320"/>
      <c r="J50" s="398"/>
      <c r="K50" s="399"/>
      <c r="L50" s="355"/>
    </row>
    <row r="51" spans="2:12" ht="13.8" thickBot="1" x14ac:dyDescent="0.3">
      <c r="B51" s="400"/>
      <c r="C51" s="338"/>
      <c r="D51" s="401"/>
      <c r="E51" s="371"/>
      <c r="F51" s="371"/>
      <c r="G51" s="2286"/>
      <c r="H51" s="2286"/>
    </row>
    <row r="52" spans="2:12" ht="13.8" thickBot="1" x14ac:dyDescent="0.3">
      <c r="B52" s="2277" t="s">
        <v>584</v>
      </c>
      <c r="C52" s="2278"/>
      <c r="D52" s="2279"/>
      <c r="E52" s="402"/>
      <c r="F52" s="763"/>
      <c r="G52" s="2277" t="s">
        <v>617</v>
      </c>
      <c r="H52" s="2278"/>
      <c r="I52" s="2278"/>
      <c r="J52" s="2278"/>
      <c r="K52" s="2278"/>
      <c r="L52" s="2279"/>
    </row>
    <row r="53" spans="2:12" x14ac:dyDescent="0.25">
      <c r="B53" s="362" t="s">
        <v>315</v>
      </c>
      <c r="C53" s="403"/>
      <c r="D53" s="1531">
        <v>85</v>
      </c>
      <c r="E53" s="364"/>
      <c r="F53" s="404"/>
      <c r="G53" s="363" t="s">
        <v>494</v>
      </c>
      <c r="K53" s="337"/>
      <c r="L53" s="1550">
        <v>0.1</v>
      </c>
    </row>
    <row r="54" spans="2:12" ht="13.8" thickBot="1" x14ac:dyDescent="0.3">
      <c r="B54" s="353" t="s">
        <v>316</v>
      </c>
      <c r="C54" s="406"/>
      <c r="D54" s="1534">
        <v>50</v>
      </c>
      <c r="F54" s="405"/>
      <c r="G54" s="353" t="s">
        <v>493</v>
      </c>
      <c r="H54" s="141"/>
      <c r="I54" s="141"/>
      <c r="J54" s="141"/>
      <c r="K54" s="141"/>
      <c r="L54" s="1551">
        <v>0.05</v>
      </c>
    </row>
    <row r="55" spans="2:12" x14ac:dyDescent="0.25">
      <c r="D55" s="138"/>
      <c r="F55" s="405"/>
    </row>
    <row r="56" spans="2:12" x14ac:dyDescent="0.25">
      <c r="G56" s="151"/>
    </row>
    <row r="57" spans="2:12" ht="13.8" thickBot="1" x14ac:dyDescent="0.3"/>
    <row r="58" spans="2:12" ht="13.8" thickBot="1" x14ac:dyDescent="0.3">
      <c r="B58" s="2277" t="s">
        <v>213</v>
      </c>
      <c r="C58" s="2278"/>
      <c r="D58" s="2278"/>
      <c r="E58" s="2279"/>
      <c r="F58" s="763"/>
      <c r="G58" s="372" t="s">
        <v>996</v>
      </c>
      <c r="I58" s="372"/>
      <c r="J58" s="372"/>
      <c r="K58" s="372"/>
      <c r="L58" s="372"/>
    </row>
    <row r="59" spans="2:12" x14ac:dyDescent="0.25">
      <c r="B59" s="2273" t="s">
        <v>945</v>
      </c>
      <c r="C59" s="2274"/>
      <c r="D59" s="2271">
        <v>300</v>
      </c>
      <c r="E59" s="2272"/>
      <c r="F59" s="405"/>
      <c r="G59" s="997" t="s">
        <v>995</v>
      </c>
      <c r="I59" s="997"/>
      <c r="J59" s="999"/>
      <c r="K59" s="999"/>
    </row>
    <row r="60" spans="2:12" x14ac:dyDescent="0.25">
      <c r="B60" s="2266" t="s">
        <v>858</v>
      </c>
      <c r="C60" s="2267"/>
      <c r="D60" s="2275"/>
      <c r="E60" s="2276"/>
      <c r="F60" s="405"/>
      <c r="G60" s="997"/>
      <c r="H60" s="997"/>
      <c r="I60" s="997"/>
      <c r="J60" s="999"/>
      <c r="K60" s="999"/>
    </row>
    <row r="61" spans="2:12" x14ac:dyDescent="0.25">
      <c r="B61" s="996" t="s">
        <v>1139</v>
      </c>
      <c r="C61" s="997"/>
      <c r="D61" s="2264">
        <v>205</v>
      </c>
      <c r="E61" s="2265"/>
      <c r="F61" s="405"/>
      <c r="G61" s="997"/>
      <c r="H61" s="997"/>
      <c r="I61" s="997"/>
      <c r="J61" s="999"/>
      <c r="K61" s="999"/>
    </row>
    <row r="62" spans="2:12" x14ac:dyDescent="0.25">
      <c r="B62" s="996" t="s">
        <v>1140</v>
      </c>
      <c r="C62" s="997"/>
      <c r="D62" s="2264">
        <v>242</v>
      </c>
      <c r="E62" s="2265"/>
      <c r="F62" s="405"/>
      <c r="G62" s="997"/>
      <c r="H62" s="997"/>
      <c r="I62" s="997"/>
      <c r="J62" s="999"/>
      <c r="K62" s="999"/>
    </row>
    <row r="63" spans="2:12" x14ac:dyDescent="0.25">
      <c r="B63" s="996" t="s">
        <v>1141</v>
      </c>
      <c r="C63" s="997"/>
      <c r="D63" s="2264">
        <v>550</v>
      </c>
      <c r="E63" s="2265"/>
      <c r="F63" s="405"/>
      <c r="G63" s="997"/>
      <c r="H63" s="997"/>
      <c r="I63" s="997"/>
      <c r="J63" s="999"/>
      <c r="K63" s="999"/>
    </row>
    <row r="64" spans="2:12" x14ac:dyDescent="0.25">
      <c r="B64" s="996" t="s">
        <v>1142</v>
      </c>
      <c r="C64" s="997"/>
      <c r="D64" s="2264">
        <v>250</v>
      </c>
      <c r="E64" s="2265"/>
      <c r="F64" s="405"/>
      <c r="G64" s="997"/>
      <c r="H64" s="997"/>
      <c r="I64" s="997"/>
      <c r="J64" s="999"/>
      <c r="K64" s="999"/>
    </row>
    <row r="65" spans="2:12" x14ac:dyDescent="0.25">
      <c r="B65" s="2266" t="s">
        <v>245</v>
      </c>
      <c r="C65" s="2267"/>
      <c r="D65" s="2289">
        <v>65</v>
      </c>
      <c r="E65" s="2290"/>
      <c r="F65" s="405"/>
    </row>
    <row r="66" spans="2:12" x14ac:dyDescent="0.25">
      <c r="B66" s="2266" t="s">
        <v>209</v>
      </c>
      <c r="C66" s="2267"/>
      <c r="D66" s="2268">
        <v>70</v>
      </c>
      <c r="E66" s="2269"/>
      <c r="F66" s="405"/>
      <c r="G66" s="764"/>
      <c r="H66" s="764"/>
      <c r="I66" s="764"/>
      <c r="J66" s="764"/>
      <c r="K66" s="764"/>
      <c r="L66" s="764"/>
    </row>
    <row r="67" spans="2:12" x14ac:dyDescent="0.25">
      <c r="B67" s="2266" t="s">
        <v>211</v>
      </c>
      <c r="C67" s="2267"/>
      <c r="D67" s="2268">
        <v>30</v>
      </c>
      <c r="E67" s="2269"/>
      <c r="F67" s="405"/>
      <c r="G67" s="372"/>
      <c r="H67" s="372"/>
      <c r="I67" s="372"/>
      <c r="J67" s="372"/>
      <c r="K67" s="372"/>
    </row>
    <row r="68" spans="2:12" x14ac:dyDescent="0.25">
      <c r="B68" s="2266" t="s">
        <v>581</v>
      </c>
      <c r="C68" s="2267"/>
      <c r="D68" s="2268">
        <v>36</v>
      </c>
      <c r="E68" s="2269"/>
      <c r="F68" s="405"/>
      <c r="G68" s="372"/>
      <c r="H68" s="372"/>
      <c r="I68" s="372"/>
      <c r="J68" s="372"/>
      <c r="K68" s="372"/>
    </row>
    <row r="69" spans="2:12" x14ac:dyDescent="0.25">
      <c r="B69" s="2266" t="s">
        <v>673</v>
      </c>
      <c r="C69" s="2267"/>
      <c r="D69" s="2268">
        <v>71</v>
      </c>
      <c r="E69" s="2269"/>
      <c r="F69" s="405"/>
      <c r="G69" s="372"/>
      <c r="H69" s="372"/>
      <c r="I69" s="372"/>
      <c r="J69" s="372"/>
      <c r="K69" s="372"/>
    </row>
    <row r="70" spans="2:12" x14ac:dyDescent="0.25">
      <c r="B70" s="996" t="s">
        <v>674</v>
      </c>
      <c r="C70" s="997"/>
      <c r="D70" s="2264">
        <v>77</v>
      </c>
      <c r="E70" s="2265"/>
      <c r="F70" s="405"/>
      <c r="G70" s="372"/>
      <c r="H70" s="372"/>
      <c r="I70" s="372"/>
      <c r="J70" s="372"/>
      <c r="K70" s="372"/>
    </row>
    <row r="71" spans="2:12" x14ac:dyDescent="0.25">
      <c r="B71" s="996" t="s">
        <v>675</v>
      </c>
      <c r="C71" s="997"/>
      <c r="D71" s="2264">
        <v>49</v>
      </c>
      <c r="E71" s="2265"/>
      <c r="F71" s="405"/>
      <c r="G71" s="372"/>
      <c r="H71" s="372"/>
      <c r="I71" s="372"/>
      <c r="J71" s="372"/>
      <c r="K71" s="372"/>
    </row>
    <row r="72" spans="2:12" x14ac:dyDescent="0.25">
      <c r="B72" s="2266" t="s">
        <v>988</v>
      </c>
      <c r="C72" s="2267"/>
      <c r="D72" s="2268">
        <v>145</v>
      </c>
      <c r="E72" s="2269"/>
      <c r="F72" s="405"/>
      <c r="G72" s="372"/>
      <c r="H72" s="372"/>
      <c r="I72" s="372"/>
      <c r="J72" s="372"/>
      <c r="K72" s="372"/>
    </row>
    <row r="73" spans="2:12" x14ac:dyDescent="0.25">
      <c r="B73" s="2266" t="s">
        <v>582</v>
      </c>
      <c r="C73" s="2267"/>
      <c r="D73" s="2268">
        <v>2320</v>
      </c>
      <c r="E73" s="2269"/>
      <c r="F73" s="405"/>
    </row>
    <row r="74" spans="2:12" x14ac:dyDescent="0.25">
      <c r="B74" s="996" t="s">
        <v>689</v>
      </c>
      <c r="C74" s="997"/>
      <c r="D74" s="2264">
        <v>10</v>
      </c>
      <c r="E74" s="2265"/>
      <c r="F74" s="405"/>
    </row>
    <row r="75" spans="2:12" x14ac:dyDescent="0.25">
      <c r="B75" s="996" t="s">
        <v>1132</v>
      </c>
      <c r="C75" s="997"/>
      <c r="D75" s="2264">
        <v>115</v>
      </c>
      <c r="E75" s="2265"/>
      <c r="F75" s="405"/>
    </row>
    <row r="76" spans="2:12" x14ac:dyDescent="0.25">
      <c r="B76" s="2266" t="s">
        <v>1239</v>
      </c>
      <c r="C76" s="2270"/>
      <c r="D76" s="2268">
        <v>35</v>
      </c>
      <c r="E76" s="2269"/>
      <c r="F76" s="405"/>
    </row>
    <row r="77" spans="2:12" x14ac:dyDescent="0.25">
      <c r="B77" s="407" t="s">
        <v>191</v>
      </c>
      <c r="C77" s="997"/>
      <c r="D77" s="2264">
        <v>18</v>
      </c>
      <c r="E77" s="2265"/>
      <c r="F77" s="405"/>
      <c r="G77" s="408"/>
      <c r="H77" s="408"/>
      <c r="I77" s="408"/>
      <c r="J77" s="408"/>
      <c r="K77" s="408"/>
      <c r="L77" s="408"/>
    </row>
    <row r="78" spans="2:12" x14ac:dyDescent="0.25">
      <c r="B78" s="2266" t="s">
        <v>1238</v>
      </c>
      <c r="C78" s="2270"/>
      <c r="D78" s="2264">
        <v>45</v>
      </c>
      <c r="E78" s="2265"/>
      <c r="F78" s="405"/>
      <c r="G78" s="408"/>
      <c r="H78" s="408"/>
      <c r="I78" s="408"/>
      <c r="J78" s="408"/>
      <c r="K78" s="408"/>
      <c r="L78" s="408"/>
    </row>
    <row r="79" spans="2:12" x14ac:dyDescent="0.25">
      <c r="B79" s="363" t="s">
        <v>242</v>
      </c>
      <c r="C79" s="351"/>
      <c r="D79" s="2298">
        <v>58</v>
      </c>
      <c r="E79" s="2299"/>
      <c r="F79" s="405"/>
      <c r="G79" s="408"/>
      <c r="H79" s="408"/>
      <c r="I79" s="408"/>
      <c r="J79" s="408"/>
      <c r="K79" s="408"/>
      <c r="L79" s="408"/>
    </row>
    <row r="80" spans="2:12" x14ac:dyDescent="0.25">
      <c r="B80" s="363" t="s">
        <v>95</v>
      </c>
      <c r="D80" s="2296"/>
      <c r="E80" s="2297"/>
      <c r="F80" s="405"/>
      <c r="G80" s="409"/>
      <c r="H80" s="409"/>
      <c r="I80" s="409"/>
      <c r="J80" s="409"/>
      <c r="K80" s="409"/>
      <c r="L80" s="409"/>
    </row>
    <row r="81" spans="2:12" x14ac:dyDescent="0.25">
      <c r="B81" s="363" t="s">
        <v>1365</v>
      </c>
      <c r="D81" s="2264"/>
      <c r="E81" s="2265"/>
      <c r="F81" s="405"/>
      <c r="G81" s="409"/>
      <c r="H81" s="409"/>
      <c r="I81" s="409"/>
      <c r="J81" s="409"/>
      <c r="K81" s="409"/>
      <c r="L81" s="409"/>
    </row>
    <row r="82" spans="2:12" ht="13.8" thickBot="1" x14ac:dyDescent="0.3">
      <c r="B82" s="353" t="s">
        <v>1366</v>
      </c>
      <c r="C82" s="141"/>
      <c r="D82" s="2300"/>
      <c r="E82" s="2301"/>
      <c r="F82" s="405"/>
      <c r="G82" s="409"/>
      <c r="H82" s="409"/>
      <c r="I82" s="409"/>
      <c r="J82" s="409"/>
      <c r="K82" s="409"/>
      <c r="L82" s="409"/>
    </row>
    <row r="83" spans="2:12" ht="13.8" thickBot="1" x14ac:dyDescent="0.3">
      <c r="E83" s="410"/>
    </row>
    <row r="84" spans="2:12" ht="13.8" thickBot="1" x14ac:dyDescent="0.3">
      <c r="B84" s="2293" t="s">
        <v>212</v>
      </c>
      <c r="C84" s="2294"/>
      <c r="D84" s="2294"/>
      <c r="E84" s="2295"/>
      <c r="F84" s="764"/>
      <c r="I84" s="336"/>
    </row>
    <row r="85" spans="2:12" x14ac:dyDescent="0.25">
      <c r="B85" s="362" t="s">
        <v>591</v>
      </c>
      <c r="C85" s="411"/>
      <c r="D85" s="2271"/>
      <c r="E85" s="2272"/>
      <c r="F85" s="405"/>
    </row>
    <row r="86" spans="2:12" x14ac:dyDescent="0.25">
      <c r="B86" s="363" t="s">
        <v>214</v>
      </c>
      <c r="D86" s="2268"/>
      <c r="E86" s="2269"/>
      <c r="F86" s="405"/>
    </row>
    <row r="87" spans="2:12" ht="13.8" thickBot="1" x14ac:dyDescent="0.3">
      <c r="B87" s="353" t="s">
        <v>766</v>
      </c>
      <c r="C87" s="406"/>
      <c r="D87" s="2291"/>
      <c r="E87" s="2292"/>
      <c r="F87" s="405"/>
    </row>
  </sheetData>
  <sheetProtection selectLockedCells="1"/>
  <protectedRanges>
    <protectedRange sqref="D5:D11 D13:D15 K8:L8 L11 K10:K12 K14:K15 K17:K22 L20 K25:L26 L28:L31 K33:K45 C18:C46 D53:D54 L53:L54 D59:E82 D85:E87" name="Range2"/>
  </protectedRanges>
  <customSheetViews>
    <customSheetView guid="{BC429C65-53B8-4F97-88D2-74ECCD734800}" showGridLines="0" showRowCol="0" hiddenColumns="1" state="hidden" topLeftCell="A22">
      <selection activeCell="D4" sqref="D4:L4"/>
      <pageMargins left="0.15" right="0.15" top="0.5" bottom="0.5" header="0.5" footer="0.5"/>
      <printOptions horizontalCentered="1"/>
      <pageSetup orientation="portrait" horizontalDpi="4294967293" verticalDpi="4294967293" r:id="rId1"/>
      <headerFooter alignWithMargins="0"/>
    </customSheetView>
  </customSheetViews>
  <mergeCells count="68">
    <mergeCell ref="G29:H29"/>
    <mergeCell ref="G26:H26"/>
    <mergeCell ref="G5:L5"/>
    <mergeCell ref="G6:H6"/>
    <mergeCell ref="G11:H11"/>
    <mergeCell ref="G8:H8"/>
    <mergeCell ref="G7:H7"/>
    <mergeCell ref="G24:H24"/>
    <mergeCell ref="G28:H28"/>
    <mergeCell ref="G27:H27"/>
    <mergeCell ref="G4:L4"/>
    <mergeCell ref="G10:H10"/>
    <mergeCell ref="G9:H9"/>
    <mergeCell ref="G14:H14"/>
    <mergeCell ref="G16:H16"/>
    <mergeCell ref="G12:H12"/>
    <mergeCell ref="D69:E69"/>
    <mergeCell ref="D68:E68"/>
    <mergeCell ref="D70:E70"/>
    <mergeCell ref="D71:E71"/>
    <mergeCell ref="D87:E87"/>
    <mergeCell ref="B84:E84"/>
    <mergeCell ref="D86:E86"/>
    <mergeCell ref="D77:E77"/>
    <mergeCell ref="D80:E80"/>
    <mergeCell ref="D85:E85"/>
    <mergeCell ref="D79:E79"/>
    <mergeCell ref="D82:E82"/>
    <mergeCell ref="B78:C78"/>
    <mergeCell ref="D78:E78"/>
    <mergeCell ref="G52:L52"/>
    <mergeCell ref="D81:E81"/>
    <mergeCell ref="G30:H30"/>
    <mergeCell ref="G31:H31"/>
    <mergeCell ref="G39:H39"/>
    <mergeCell ref="G51:H51"/>
    <mergeCell ref="G40:H40"/>
    <mergeCell ref="G41:H41"/>
    <mergeCell ref="G33:H33"/>
    <mergeCell ref="G36:H36"/>
    <mergeCell ref="G32:H32"/>
    <mergeCell ref="G38:H38"/>
    <mergeCell ref="B52:D52"/>
    <mergeCell ref="B58:E58"/>
    <mergeCell ref="D65:E65"/>
    <mergeCell ref="B60:C60"/>
    <mergeCell ref="D59:E59"/>
    <mergeCell ref="D61:E61"/>
    <mergeCell ref="B59:C59"/>
    <mergeCell ref="D63:E63"/>
    <mergeCell ref="D60:E60"/>
    <mergeCell ref="D62:E62"/>
    <mergeCell ref="D64:E64"/>
    <mergeCell ref="B66:C66"/>
    <mergeCell ref="D76:E76"/>
    <mergeCell ref="D67:E67"/>
    <mergeCell ref="B68:C68"/>
    <mergeCell ref="D72:E72"/>
    <mergeCell ref="D74:E74"/>
    <mergeCell ref="D66:E66"/>
    <mergeCell ref="B72:C72"/>
    <mergeCell ref="B69:C69"/>
    <mergeCell ref="D75:E75"/>
    <mergeCell ref="B67:C67"/>
    <mergeCell ref="B65:C65"/>
    <mergeCell ref="B76:C76"/>
    <mergeCell ref="B73:C73"/>
    <mergeCell ref="D73:E73"/>
  </mergeCells>
  <phoneticPr fontId="4" type="noConversion"/>
  <dataValidations count="53">
    <dataValidation type="whole" operator="lessThanOrEqual" allowBlank="1" showInputMessage="1" showErrorMessage="1" sqref="D63:E63" xr:uid="{00000000-0002-0000-0F00-000000000000}">
      <formula1>550</formula1>
    </dataValidation>
    <dataValidation type="whole" operator="lessThanOrEqual" allowBlank="1" showInputMessage="1" showErrorMessage="1" sqref="L28 D11" xr:uid="{00000000-0002-0000-0F00-000001000000}">
      <formula1>60</formula1>
    </dataValidation>
    <dataValidation type="whole" operator="lessThanOrEqual" allowBlank="1" showInputMessage="1" showErrorMessage="1" sqref="L29 D54 K33" xr:uid="{00000000-0002-0000-0F00-000002000000}">
      <formula1>50</formula1>
    </dataValidation>
    <dataValidation type="whole" operator="lessThanOrEqual" allowBlank="1" showInputMessage="1" showErrorMessage="1" sqref="K25:L25" xr:uid="{00000000-0002-0000-0F00-000003000000}">
      <formula1>25</formula1>
    </dataValidation>
    <dataValidation type="whole" operator="lessThanOrEqual" allowBlank="1" showInputMessage="1" showErrorMessage="1" sqref="D77:E77" xr:uid="{00000000-0002-0000-0F00-000004000000}">
      <formula1>18</formula1>
    </dataValidation>
    <dataValidation type="whole" operator="lessThanOrEqual" allowBlank="1" showInputMessage="1" showErrorMessage="1" sqref="D74:E74" xr:uid="{00000000-0002-0000-0F00-000005000000}">
      <formula1>10</formula1>
    </dataValidation>
    <dataValidation type="whole" operator="lessThanOrEqual" allowBlank="1" showInputMessage="1" showErrorMessage="1" sqref="D78:E78" xr:uid="{00000000-0002-0000-0F00-000006000000}">
      <formula1>45</formula1>
    </dataValidation>
    <dataValidation type="whole" operator="lessThanOrEqual" allowBlank="1" showInputMessage="1" showErrorMessage="1" sqref="L31 D8" xr:uid="{00000000-0002-0000-0F00-000007000000}">
      <formula1>95</formula1>
    </dataValidation>
    <dataValidation type="whole" operator="lessThanOrEqual" allowBlank="1" showInputMessage="1" showErrorMessage="1" sqref="D65:E65 K15 L20 K8:L8 K17 K44:K45 K19:K21" xr:uid="{00000000-0002-0000-0F00-000008000000}">
      <formula1>65</formula1>
    </dataValidation>
    <dataValidation type="whole" operator="lessThanOrEqual" allowBlank="1" showInputMessage="1" showErrorMessage="1" sqref="D66:E66" xr:uid="{00000000-0002-0000-0F00-000009000000}">
      <formula1>70</formula1>
    </dataValidation>
    <dataValidation type="whole" operator="lessThanOrEqual" allowBlank="1" showInputMessage="1" showErrorMessage="1" sqref="D67:E67" xr:uid="{00000000-0002-0000-0F00-00000A000000}">
      <formula1>30</formula1>
    </dataValidation>
    <dataValidation type="whole" operator="lessThanOrEqual" allowBlank="1" showInputMessage="1" showErrorMessage="1" sqref="C43 C21 C27 C36 C41" xr:uid="{00000000-0002-0000-0F00-00000B000000}">
      <formula1>28</formula1>
    </dataValidation>
    <dataValidation type="whole" operator="lessThanOrEqual" allowBlank="1" showInputMessage="1" showErrorMessage="1" sqref="C22 C34 C20" xr:uid="{00000000-0002-0000-0F00-00000C000000}">
      <formula1>55</formula1>
    </dataValidation>
    <dataValidation type="whole" operator="lessThanOrEqual" allowBlank="1" showInputMessage="1" showErrorMessage="1" sqref="D71:E71" xr:uid="{00000000-0002-0000-0F00-00000D000000}">
      <formula1>49</formula1>
    </dataValidation>
    <dataValidation type="whole" operator="lessThanOrEqual" allowBlank="1" showInputMessage="1" showErrorMessage="1" sqref="D73:E73" xr:uid="{00000000-0002-0000-0F00-00000E000000}">
      <formula1>2320</formula1>
    </dataValidation>
    <dataValidation type="whole" operator="lessThanOrEqual" allowBlank="1" showInputMessage="1" showErrorMessage="1" sqref="C19" xr:uid="{00000000-0002-0000-0F00-00000F000000}">
      <formula1>75</formula1>
    </dataValidation>
    <dataValidation type="whole" operator="lessThanOrEqual" allowBlank="1" showInputMessage="1" showErrorMessage="1" sqref="D64:E64" xr:uid="{00000000-0002-0000-0F00-000010000000}">
      <formula1>250</formula1>
    </dataValidation>
    <dataValidation type="whole" operator="lessThanOrEqual" allowBlank="1" showInputMessage="1" showErrorMessage="1" sqref="D75:E75" xr:uid="{00000000-0002-0000-0F00-000011000000}">
      <formula1>115</formula1>
    </dataValidation>
    <dataValidation type="whole" operator="lessThanOrEqual" allowBlank="1" showInputMessage="1" showErrorMessage="1" sqref="D6" xr:uid="{00000000-0002-0000-0F00-000012000000}">
      <formula1>140</formula1>
    </dataValidation>
    <dataValidation type="whole" operator="lessThanOrEqual" allowBlank="1" showInputMessage="1" showErrorMessage="1" sqref="D7" xr:uid="{00000000-0002-0000-0F00-000013000000}">
      <formula1>102</formula1>
    </dataValidation>
    <dataValidation type="whole" operator="lessThanOrEqual" allowBlank="1" showInputMessage="1" showErrorMessage="1" sqref="C18" xr:uid="{00000000-0002-0000-0F00-000016000000}">
      <formula1>8</formula1>
    </dataValidation>
    <dataValidation type="whole" operator="lessThanOrEqual" allowBlank="1" showInputMessage="1" showErrorMessage="1" sqref="K42:K43" xr:uid="{00000000-0002-0000-0F00-000017000000}">
      <formula1>100</formula1>
    </dataValidation>
    <dataValidation type="whole" operator="lessThanOrEqual" allowBlank="1" showInputMessage="1" showErrorMessage="1" sqref="C44 K12" xr:uid="{00000000-0002-0000-0F00-000019000000}">
      <formula1>275</formula1>
    </dataValidation>
    <dataValidation type="whole" operator="lessThanOrEqual" allowBlank="1" showInputMessage="1" showErrorMessage="1" sqref="K10 K11:L11" xr:uid="{00000000-0002-0000-0F00-00001A000000}">
      <formula1>130</formula1>
    </dataValidation>
    <dataValidation type="whole" operator="lessThanOrEqual" allowBlank="1" showInputMessage="1" showErrorMessage="1" sqref="K14 K18 K22 D16" xr:uid="{00000000-0002-0000-0F00-00001B000000}">
      <formula1>150</formula1>
    </dataValidation>
    <dataValidation type="whole" operator="lessThanOrEqual" allowBlank="1" showInputMessage="1" showErrorMessage="1" sqref="K37 K26 L26" xr:uid="{00000000-0002-0000-0F00-00001C000000}">
      <formula1>15</formula1>
    </dataValidation>
    <dataValidation type="whole" operator="lessThanOrEqual" allowBlank="1" showInputMessage="1" showErrorMessage="1" sqref="L30" xr:uid="{00000000-0002-0000-0F00-00001D000000}">
      <formula1>80</formula1>
    </dataValidation>
    <dataValidation type="whole" operator="lessThanOrEqual" allowBlank="1" showInputMessage="1" showErrorMessage="1" sqref="D53" xr:uid="{00000000-0002-0000-0F00-00001F000000}">
      <formula1>85</formula1>
    </dataValidation>
    <dataValidation type="whole" operator="lessThanOrEqual" allowBlank="1" showInputMessage="1" showErrorMessage="1" sqref="D61:E61" xr:uid="{00000000-0002-0000-0F00-000020000000}">
      <formula1>205</formula1>
    </dataValidation>
    <dataValidation type="decimal" operator="lessThanOrEqual" allowBlank="1" showInputMessage="1" showErrorMessage="1" sqref="D13" xr:uid="{00000000-0002-0000-0F00-000021000000}">
      <formula1>19</formula1>
    </dataValidation>
    <dataValidation type="decimal" operator="lessThanOrEqual" allowBlank="1" showInputMessage="1" showErrorMessage="1" sqref="D14" xr:uid="{00000000-0002-0000-0F00-000022000000}">
      <formula1>47</formula1>
    </dataValidation>
    <dataValidation type="decimal" operator="lessThanOrEqual" allowBlank="1" showInputMessage="1" showErrorMessage="1" sqref="D15" xr:uid="{00000000-0002-0000-0F00-000023000000}">
      <formula1>68</formula1>
    </dataValidation>
    <dataValidation type="decimal" operator="lessThanOrEqual" allowBlank="1" showInputMessage="1" showErrorMessage="1" sqref="L53" xr:uid="{00000000-0002-0000-0F00-000024000000}">
      <formula1>0.1</formula1>
    </dataValidation>
    <dataValidation type="decimal" operator="lessThanOrEqual" allowBlank="1" showInputMessage="1" showErrorMessage="1" sqref="L54" xr:uid="{00000000-0002-0000-0F00-000025000000}">
      <formula1>0.05</formula1>
    </dataValidation>
    <dataValidation type="decimal" operator="lessThanOrEqual" allowBlank="1" showInputMessage="1" showErrorMessage="1" sqref="C46" xr:uid="{00000000-0002-0000-0F00-000026000000}">
      <formula1>1.5</formula1>
    </dataValidation>
    <dataValidation type="whole" operator="lessThanOrEqual" allowBlank="1" showInputMessage="1" showErrorMessage="1" sqref="C23 C24 C25 C30 C31 C32 C33 C35 C37 C39 C40" xr:uid="{00000000-0002-0000-0F00-000028000000}">
      <formula1>11</formula1>
    </dataValidation>
    <dataValidation type="whole" operator="lessThanOrEqual" allowBlank="1" showInputMessage="1" showErrorMessage="1" sqref="C26" xr:uid="{00000000-0002-0000-0F00-000029000000}">
      <formula1>6</formula1>
    </dataValidation>
    <dataValidation type="whole" operator="lessThanOrEqual" allowBlank="1" showInputMessage="1" showErrorMessage="1" sqref="C28" xr:uid="{00000000-0002-0000-0F00-00002A000000}">
      <formula1>33</formula1>
    </dataValidation>
    <dataValidation type="whole" operator="lessThanOrEqual" allowBlank="1" showInputMessage="1" showErrorMessage="1" sqref="C29 C38" xr:uid="{00000000-0002-0000-0F00-00002B000000}">
      <formula1>110</formula1>
    </dataValidation>
    <dataValidation type="whole" operator="lessThanOrEqual" allowBlank="1" showInputMessage="1" showErrorMessage="1" sqref="C45" xr:uid="{00000000-0002-0000-0F00-00002C000000}">
      <formula1>17</formula1>
    </dataValidation>
    <dataValidation type="whole" operator="lessThanOrEqual" allowBlank="1" showInputMessage="1" showErrorMessage="1" sqref="D59:E59" xr:uid="{00000000-0002-0000-0F00-00002D000000}">
      <formula1>300</formula1>
    </dataValidation>
    <dataValidation type="whole" operator="lessThanOrEqual" allowBlank="1" showInputMessage="1" showErrorMessage="1" sqref="D62:E62" xr:uid="{00000000-0002-0000-0F00-00002E000000}">
      <formula1>242</formula1>
    </dataValidation>
    <dataValidation type="whole" operator="lessThanOrEqual" allowBlank="1" showInputMessage="1" showErrorMessage="1" sqref="D68:E68" xr:uid="{00000000-0002-0000-0F00-00002F000000}">
      <formula1>36</formula1>
    </dataValidation>
    <dataValidation type="whole" operator="lessThanOrEqual" allowBlank="1" showInputMessage="1" showErrorMessage="1" sqref="D69:E69" xr:uid="{00000000-0002-0000-0F00-000030000000}">
      <formula1>71</formula1>
    </dataValidation>
    <dataValidation type="whole" operator="lessThanOrEqual" allowBlank="1" showInputMessage="1" showErrorMessage="1" sqref="D70:E70" xr:uid="{00000000-0002-0000-0F00-000031000000}">
      <formula1>77</formula1>
    </dataValidation>
    <dataValidation type="whole" operator="lessThanOrEqual" allowBlank="1" showInputMessage="1" showErrorMessage="1" sqref="D72:E72" xr:uid="{00000000-0002-0000-0F00-000032000000}">
      <formula1>145</formula1>
    </dataValidation>
    <dataValidation type="whole" operator="lessThanOrEqual" allowBlank="1" showInputMessage="1" showErrorMessage="1" sqref="D76:E76" xr:uid="{00000000-0002-0000-0F00-000033000000}">
      <formula1>35</formula1>
    </dataValidation>
    <dataValidation type="whole" operator="lessThanOrEqual" allowBlank="1" showInputMessage="1" showErrorMessage="1" sqref="D79:E79" xr:uid="{00000000-0002-0000-0F00-000034000000}">
      <formula1>58</formula1>
    </dataValidation>
    <dataValidation type="whole" operator="lessThanOrEqual" allowBlank="1" showInputMessage="1" showErrorMessage="1" sqref="C42" xr:uid="{00000000-0002-0000-0F00-000036000000}">
      <formula1>12</formula1>
    </dataValidation>
    <dataValidation type="whole" operator="lessThanOrEqual" allowBlank="1" showInputMessage="1" showErrorMessage="1" sqref="K35:K36" xr:uid="{1D7266A3-9EA3-42BE-94DA-327F7860DE5A}">
      <formula1>40</formula1>
    </dataValidation>
    <dataValidation type="whole" operator="lessThanOrEqual" allowBlank="1" showInputMessage="1" showErrorMessage="1" sqref="K34 K38:K41" xr:uid="{E606E0EA-71D1-474F-A3B6-CF9A130B187D}">
      <formula1>20</formula1>
    </dataValidation>
    <dataValidation type="whole" operator="lessThanOrEqual" allowBlank="1" showInputMessage="1" showErrorMessage="1" sqref="D5" xr:uid="{DDE0CD3E-2365-40B4-BF6F-2432210E262C}">
      <formula1>122</formula1>
    </dataValidation>
    <dataValidation type="whole" operator="lessThanOrEqual" allowBlank="1" showInputMessage="1" showErrorMessage="1" sqref="D9 D10" xr:uid="{E79D41B8-A146-471B-8454-F37B3C720C09}">
      <formula1>74</formula1>
    </dataValidation>
  </dataValidations>
  <printOptions horizontalCentered="1"/>
  <pageMargins left="0.15" right="0.15" top="0.25" bottom="0.5" header="0.5" footer="0.5"/>
  <pageSetup orientation="portrait" horizontalDpi="4294967293" verticalDpi="4294967293" r:id="rId2"/>
  <headerFooter alignWithMargins="0">
    <oddFooter>&amp;C2/2025&amp;R*M9 DRAFT</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tabColor theme="0" tint="-4.9989318521683403E-2"/>
  </sheetPr>
  <dimension ref="A1:L167"/>
  <sheetViews>
    <sheetView showGridLines="0" showRowColHeaders="0" zoomScale="120" zoomScaleNormal="120" zoomScaleSheetLayoutView="100" workbookViewId="0">
      <pane xSplit="1" ySplit="6" topLeftCell="B7" activePane="bottomRight" state="frozen"/>
      <selection activeCell="B8" sqref="B8:J10"/>
      <selection pane="topRight" activeCell="B8" sqref="B8:J10"/>
      <selection pane="bottomLeft" activeCell="B8" sqref="B8:J10"/>
      <selection pane="bottomRight" activeCell="B8" sqref="B8:J10"/>
    </sheetView>
  </sheetViews>
  <sheetFormatPr defaultColWidth="11.44140625" defaultRowHeight="13.2" x14ac:dyDescent="0.25"/>
  <cols>
    <col min="1" max="1" width="13.6640625" style="173" customWidth="1"/>
    <col min="2" max="3" width="11.44140625" style="105" customWidth="1"/>
    <col min="4" max="4" width="9.33203125" style="105" customWidth="1"/>
    <col min="5" max="5" width="10.33203125" style="105" bestFit="1" customWidth="1"/>
    <col min="6" max="6" width="11" style="105" customWidth="1"/>
    <col min="7" max="7" width="7.33203125" style="105" customWidth="1"/>
    <col min="8" max="8" width="7.44140625" style="174" customWidth="1"/>
    <col min="9" max="9" width="9" style="105" customWidth="1"/>
    <col min="10" max="10" width="8.5546875" style="175" customWidth="1"/>
    <col min="11" max="11" width="14.33203125" style="176" customWidth="1"/>
    <col min="12" max="12" width="11.44140625" style="412"/>
    <col min="13" max="16384" width="11.44140625" style="105"/>
  </cols>
  <sheetData>
    <row r="1" spans="2:11" ht="19.2" customHeight="1" thickBot="1" x14ac:dyDescent="0.3"/>
    <row r="2" spans="2:11" ht="21" customHeight="1" thickBot="1" x14ac:dyDescent="0.3">
      <c r="B2" s="797" t="s">
        <v>865</v>
      </c>
      <c r="C2" s="798"/>
      <c r="D2" s="798"/>
      <c r="E2" s="798"/>
      <c r="F2" s="798"/>
      <c r="G2" s="798"/>
      <c r="H2" s="798"/>
      <c r="I2" s="798"/>
      <c r="J2" s="798"/>
      <c r="K2" s="799"/>
    </row>
    <row r="3" spans="2:11" ht="21" customHeight="1" thickBot="1" x14ac:dyDescent="0.3">
      <c r="B3" s="796" t="s">
        <v>410</v>
      </c>
      <c r="C3" s="800"/>
      <c r="D3" s="800"/>
      <c r="E3" s="800"/>
      <c r="F3" s="800"/>
      <c r="G3" s="800"/>
      <c r="H3" s="800"/>
      <c r="I3" s="800"/>
      <c r="J3" s="800"/>
      <c r="K3" s="801"/>
    </row>
    <row r="4" spans="2:11" ht="13.2" customHeight="1" x14ac:dyDescent="0.25">
      <c r="B4" s="108"/>
      <c r="C4" s="116"/>
      <c r="D4" s="116"/>
      <c r="E4" s="116"/>
      <c r="F4" s="116"/>
      <c r="G4" s="116"/>
      <c r="H4" s="113"/>
      <c r="I4" s="116"/>
      <c r="J4" s="144"/>
      <c r="K4" s="177"/>
    </row>
    <row r="5" spans="2:11" ht="14.4" customHeight="1" x14ac:dyDescent="0.25">
      <c r="B5" s="2313" t="s">
        <v>314</v>
      </c>
      <c r="C5" s="2314"/>
      <c r="D5" s="2314"/>
      <c r="E5" s="2314"/>
      <c r="F5" s="2314"/>
      <c r="G5" s="2314"/>
      <c r="H5" s="2315" t="s">
        <v>990</v>
      </c>
      <c r="I5" s="2316"/>
      <c r="J5" s="2316"/>
      <c r="K5" s="2317"/>
    </row>
    <row r="6" spans="2:11" ht="13.95" customHeight="1" thickBot="1" x14ac:dyDescent="0.3">
      <c r="B6" s="178"/>
      <c r="C6" s="116"/>
      <c r="D6" s="116"/>
      <c r="E6" s="116"/>
      <c r="F6" s="116"/>
      <c r="G6" s="116"/>
      <c r="H6" s="113"/>
      <c r="I6" s="116"/>
      <c r="J6" s="144"/>
      <c r="K6" s="177"/>
    </row>
    <row r="7" spans="2:11" ht="18" customHeight="1" thickBot="1" x14ac:dyDescent="0.3">
      <c r="B7" s="723" t="s">
        <v>364</v>
      </c>
      <c r="C7" s="724"/>
      <c r="D7" s="724"/>
      <c r="E7" s="724"/>
      <c r="F7" s="724"/>
      <c r="G7" s="724"/>
      <c r="H7" s="724"/>
      <c r="I7" s="724"/>
      <c r="J7" s="724"/>
      <c r="K7" s="725"/>
    </row>
    <row r="8" spans="2:11" ht="16.2" customHeight="1" thickBot="1" x14ac:dyDescent="0.3">
      <c r="B8" s="793" t="s">
        <v>946</v>
      </c>
      <c r="C8" s="794"/>
      <c r="D8" s="794"/>
      <c r="E8" s="794"/>
      <c r="F8" s="794"/>
      <c r="G8" s="794"/>
      <c r="H8" s="794"/>
      <c r="I8" s="794"/>
      <c r="J8" s="794"/>
      <c r="K8" s="795"/>
    </row>
    <row r="9" spans="2:11" ht="0.15" customHeight="1" thickBot="1" x14ac:dyDescent="0.3">
      <c r="B9" s="572"/>
      <c r="C9" s="282"/>
      <c r="D9" s="282"/>
      <c r="E9" s="282"/>
      <c r="F9" s="282"/>
      <c r="G9" s="282"/>
      <c r="H9" s="282"/>
      <c r="I9" s="1305"/>
      <c r="J9" s="1519"/>
      <c r="K9" s="417"/>
    </row>
    <row r="10" spans="2:11" ht="13.2" customHeight="1" x14ac:dyDescent="0.25">
      <c r="B10" s="108" t="s">
        <v>704</v>
      </c>
      <c r="C10" s="116"/>
      <c r="D10" s="116"/>
      <c r="E10" s="116"/>
      <c r="F10" s="116"/>
      <c r="G10" s="116"/>
      <c r="H10" s="1177">
        <f>' Field Task'!I4</f>
        <v>241</v>
      </c>
      <c r="I10" s="1322" t="s">
        <v>436</v>
      </c>
      <c r="J10" s="1323"/>
      <c r="K10" s="1192" t="str">
        <f t="shared" ref="K10:K15" si="0">IF(J10&lt;1,"",J10*H10)</f>
        <v/>
      </c>
    </row>
    <row r="11" spans="2:11" x14ac:dyDescent="0.25">
      <c r="B11" s="108" t="s">
        <v>705</v>
      </c>
      <c r="C11" s="116"/>
      <c r="D11" s="116"/>
      <c r="E11" s="116"/>
      <c r="F11" s="116"/>
      <c r="G11" s="116"/>
      <c r="H11" s="1177">
        <f>' Field Task'!I6</f>
        <v>380</v>
      </c>
      <c r="I11" s="1322" t="s">
        <v>436</v>
      </c>
      <c r="J11" s="1324"/>
      <c r="K11" s="1192" t="str">
        <f t="shared" si="0"/>
        <v/>
      </c>
    </row>
    <row r="12" spans="2:11" x14ac:dyDescent="0.25">
      <c r="B12" s="108" t="s">
        <v>706</v>
      </c>
      <c r="C12" s="116"/>
      <c r="D12" s="116"/>
      <c r="E12" s="116"/>
      <c r="F12" s="116"/>
      <c r="G12" s="116"/>
      <c r="H12" s="1177">
        <f>' Field Task'!I8</f>
        <v>825</v>
      </c>
      <c r="I12" s="1322" t="s">
        <v>436</v>
      </c>
      <c r="J12" s="1324"/>
      <c r="K12" s="1192" t="str">
        <f t="shared" si="0"/>
        <v/>
      </c>
    </row>
    <row r="13" spans="2:11" x14ac:dyDescent="0.25">
      <c r="B13" s="108" t="s">
        <v>744</v>
      </c>
      <c r="C13" s="116"/>
      <c r="D13" s="116"/>
      <c r="E13" s="116"/>
      <c r="F13" s="116"/>
      <c r="G13" s="116"/>
      <c r="H13" s="1177">
        <f>' Field Task'!I10</f>
        <v>1066</v>
      </c>
      <c r="I13" s="1322" t="s">
        <v>436</v>
      </c>
      <c r="J13" s="1324"/>
      <c r="K13" s="1192" t="str">
        <f t="shared" si="0"/>
        <v/>
      </c>
    </row>
    <row r="14" spans="2:11" x14ac:dyDescent="0.25">
      <c r="B14" s="108" t="s">
        <v>707</v>
      </c>
      <c r="C14" s="116"/>
      <c r="D14" s="116"/>
      <c r="E14" s="116"/>
      <c r="F14" s="116"/>
      <c r="G14" s="116"/>
      <c r="H14" s="1177">
        <f>' Field Task'!I12</f>
        <v>1307</v>
      </c>
      <c r="I14" s="1322" t="s">
        <v>436</v>
      </c>
      <c r="J14" s="1324"/>
      <c r="K14" s="1192" t="str">
        <f t="shared" si="0"/>
        <v/>
      </c>
    </row>
    <row r="15" spans="2:11" ht="13.8" thickBot="1" x14ac:dyDescent="0.3">
      <c r="B15" s="108" t="s">
        <v>708</v>
      </c>
      <c r="C15" s="116"/>
      <c r="D15" s="116"/>
      <c r="E15" s="116"/>
      <c r="F15" s="116"/>
      <c r="G15" s="116"/>
      <c r="H15" s="1177">
        <f>' Field Task'!I14</f>
        <v>1548</v>
      </c>
      <c r="I15" s="1322" t="s">
        <v>436</v>
      </c>
      <c r="J15" s="1325"/>
      <c r="K15" s="1192" t="str">
        <f t="shared" si="0"/>
        <v/>
      </c>
    </row>
    <row r="16" spans="2:11" ht="13.95" customHeight="1" thickBot="1" x14ac:dyDescent="0.3">
      <c r="B16" s="802" t="s">
        <v>947</v>
      </c>
      <c r="C16" s="803"/>
      <c r="D16" s="803"/>
      <c r="E16" s="803"/>
      <c r="F16" s="803"/>
      <c r="G16" s="803"/>
      <c r="H16" s="1281"/>
      <c r="I16" s="803"/>
      <c r="J16" s="803"/>
      <c r="K16" s="1282"/>
    </row>
    <row r="17" spans="2:12" ht="0.15" customHeight="1" thickBot="1" x14ac:dyDescent="0.3">
      <c r="B17" s="126"/>
      <c r="C17" s="127"/>
      <c r="D17" s="127"/>
      <c r="E17" s="127"/>
      <c r="F17" s="127"/>
      <c r="G17" s="127"/>
      <c r="H17" s="1205"/>
      <c r="I17" s="292"/>
      <c r="J17" s="131"/>
      <c r="K17" s="1195"/>
    </row>
    <row r="18" spans="2:12" ht="12.75" customHeight="1" x14ac:dyDescent="0.25">
      <c r="B18" s="108" t="s">
        <v>251</v>
      </c>
      <c r="C18" s="116"/>
      <c r="D18" s="179"/>
      <c r="E18" s="179"/>
      <c r="F18" s="179"/>
      <c r="G18" s="116"/>
      <c r="H18" s="1177">
        <f>' Field Task'!I18</f>
        <v>380</v>
      </c>
      <c r="I18" s="1322" t="s">
        <v>436</v>
      </c>
      <c r="J18" s="1324"/>
      <c r="K18" s="1192" t="str">
        <f t="shared" ref="K18:K26" si="1">IF(J18&lt;1,"",J18*H18)</f>
        <v/>
      </c>
    </row>
    <row r="19" spans="2:12" x14ac:dyDescent="0.25">
      <c r="B19" s="108" t="s">
        <v>253</v>
      </c>
      <c r="C19" s="116"/>
      <c r="D19" s="179"/>
      <c r="E19" s="179"/>
      <c r="F19" s="179"/>
      <c r="G19" s="116"/>
      <c r="H19" s="1177">
        <f>' Field Task'!I22</f>
        <v>519</v>
      </c>
      <c r="I19" s="1322" t="s">
        <v>436</v>
      </c>
      <c r="J19" s="1324"/>
      <c r="K19" s="1192" t="str">
        <f t="shared" si="1"/>
        <v/>
      </c>
    </row>
    <row r="20" spans="2:12" x14ac:dyDescent="0.25">
      <c r="B20" s="108" t="s">
        <v>255</v>
      </c>
      <c r="C20" s="116"/>
      <c r="D20" s="179"/>
      <c r="E20" s="179"/>
      <c r="F20" s="179"/>
      <c r="G20" s="116"/>
      <c r="H20" s="1177">
        <f>' Field Task'!I26</f>
        <v>760</v>
      </c>
      <c r="I20" s="1322" t="s">
        <v>436</v>
      </c>
      <c r="J20" s="1324"/>
      <c r="K20" s="1192" t="str">
        <f t="shared" si="1"/>
        <v/>
      </c>
    </row>
    <row r="21" spans="2:12" ht="13.2" customHeight="1" x14ac:dyDescent="0.25">
      <c r="B21" s="108" t="s">
        <v>256</v>
      </c>
      <c r="C21" s="116"/>
      <c r="D21" s="179"/>
      <c r="E21" s="179"/>
      <c r="F21" s="179"/>
      <c r="G21" s="116"/>
      <c r="H21" s="1177">
        <f>' Field Task'!I30</f>
        <v>1001</v>
      </c>
      <c r="I21" s="1322" t="s">
        <v>436</v>
      </c>
      <c r="J21" s="1324"/>
      <c r="K21" s="1192" t="str">
        <f t="shared" si="1"/>
        <v/>
      </c>
    </row>
    <row r="22" spans="2:12" ht="13.2" customHeight="1" x14ac:dyDescent="0.25">
      <c r="B22" s="108"/>
      <c r="C22" s="116"/>
      <c r="D22" s="179"/>
      <c r="E22" s="179"/>
      <c r="F22" s="179"/>
      <c r="G22" s="116"/>
      <c r="H22" s="1177"/>
      <c r="I22" s="1322"/>
      <c r="J22" s="1326"/>
      <c r="K22" s="1192"/>
    </row>
    <row r="23" spans="2:12" x14ac:dyDescent="0.25">
      <c r="B23" s="108" t="s">
        <v>252</v>
      </c>
      <c r="C23" s="116"/>
      <c r="D23" s="179"/>
      <c r="E23" s="179"/>
      <c r="F23" s="179"/>
      <c r="G23" s="116"/>
      <c r="H23" s="1177">
        <f>' Field Task'!I20</f>
        <v>482</v>
      </c>
      <c r="I23" s="1322" t="s">
        <v>436</v>
      </c>
      <c r="J23" s="1327"/>
      <c r="K23" s="1192" t="str">
        <f t="shared" si="1"/>
        <v/>
      </c>
    </row>
    <row r="24" spans="2:12" x14ac:dyDescent="0.25">
      <c r="B24" s="108" t="s">
        <v>254</v>
      </c>
      <c r="C24" s="116"/>
      <c r="D24" s="179"/>
      <c r="E24" s="116"/>
      <c r="F24" s="116"/>
      <c r="G24" s="116"/>
      <c r="H24" s="1177">
        <f>' Field Task'!I24</f>
        <v>825</v>
      </c>
      <c r="I24" s="1322" t="s">
        <v>436</v>
      </c>
      <c r="J24" s="1324"/>
      <c r="K24" s="1192" t="str">
        <f t="shared" si="1"/>
        <v/>
      </c>
    </row>
    <row r="25" spans="2:12" ht="13.2" customHeight="1" x14ac:dyDescent="0.25">
      <c r="B25" s="108" t="s">
        <v>257</v>
      </c>
      <c r="C25" s="116"/>
      <c r="D25" s="179"/>
      <c r="E25" s="116"/>
      <c r="F25" s="116"/>
      <c r="G25" s="116"/>
      <c r="H25" s="1177">
        <f>' Field Task'!I28</f>
        <v>964</v>
      </c>
      <c r="I25" s="1322" t="s">
        <v>436</v>
      </c>
      <c r="J25" s="1328"/>
      <c r="K25" s="1192" t="str">
        <f t="shared" si="1"/>
        <v/>
      </c>
    </row>
    <row r="26" spans="2:12" ht="13.2" customHeight="1" thickBot="1" x14ac:dyDescent="0.3">
      <c r="B26" s="108" t="s">
        <v>258</v>
      </c>
      <c r="C26" s="116"/>
      <c r="D26" s="116"/>
      <c r="E26" s="116"/>
      <c r="F26" s="116"/>
      <c r="G26" s="116"/>
      <c r="H26" s="1177">
        <f>' Field Task'!I32</f>
        <v>1205</v>
      </c>
      <c r="I26" s="1322" t="s">
        <v>436</v>
      </c>
      <c r="J26" s="1324"/>
      <c r="K26" s="1192" t="str">
        <f t="shared" si="1"/>
        <v/>
      </c>
    </row>
    <row r="27" spans="2:12" ht="0.15" customHeight="1" thickBot="1" x14ac:dyDescent="0.3">
      <c r="B27" s="128"/>
      <c r="C27" s="118"/>
      <c r="D27" s="118"/>
      <c r="E27" s="118"/>
      <c r="F27" s="118"/>
      <c r="G27" s="118"/>
      <c r="H27" s="1204"/>
      <c r="I27" s="180"/>
      <c r="J27" s="181"/>
      <c r="K27" s="1193"/>
      <c r="L27" s="1567"/>
    </row>
    <row r="28" spans="2:12" ht="13.95" customHeight="1" thickBot="1" x14ac:dyDescent="0.3">
      <c r="B28" s="802" t="s">
        <v>940</v>
      </c>
      <c r="C28" s="803"/>
      <c r="D28" s="803"/>
      <c r="E28" s="803"/>
      <c r="F28" s="803"/>
      <c r="G28" s="803"/>
      <c r="H28" s="1281"/>
      <c r="I28" s="803"/>
      <c r="J28" s="803"/>
      <c r="K28" s="1282"/>
    </row>
    <row r="29" spans="2:12" ht="0.15" customHeight="1" thickBot="1" x14ac:dyDescent="0.3">
      <c r="B29" s="572"/>
      <c r="C29" s="282"/>
      <c r="D29" s="282"/>
      <c r="E29" s="282"/>
      <c r="F29" s="282"/>
      <c r="G29" s="282"/>
      <c r="H29" s="1206"/>
      <c r="I29" s="1305"/>
      <c r="J29" s="1519"/>
      <c r="K29" s="1196"/>
    </row>
    <row r="30" spans="2:12" x14ac:dyDescent="0.25">
      <c r="B30" s="108" t="s">
        <v>934</v>
      </c>
      <c r="C30" s="282"/>
      <c r="D30" s="282"/>
      <c r="E30" s="282"/>
      <c r="F30" s="282"/>
      <c r="G30" s="282"/>
      <c r="H30" s="1176">
        <f>' Field Task'!I36</f>
        <v>431</v>
      </c>
      <c r="I30" s="1322" t="s">
        <v>436</v>
      </c>
      <c r="J30" s="1323"/>
      <c r="K30" s="1192" t="str">
        <f t="shared" ref="K30:K80" si="2">IF(J30&lt;1,"",J30*H30)</f>
        <v/>
      </c>
    </row>
    <row r="31" spans="2:12" x14ac:dyDescent="0.25">
      <c r="B31" s="108" t="s">
        <v>935</v>
      </c>
      <c r="C31" s="116"/>
      <c r="D31" s="116"/>
      <c r="E31" s="116"/>
      <c r="F31" s="116"/>
      <c r="G31" s="116"/>
      <c r="H31" s="1177">
        <f>' Field Task'!I38</f>
        <v>672</v>
      </c>
      <c r="I31" s="1322" t="s">
        <v>436</v>
      </c>
      <c r="J31" s="1324"/>
      <c r="K31" s="1192" t="str">
        <f t="shared" si="2"/>
        <v/>
      </c>
    </row>
    <row r="32" spans="2:12" x14ac:dyDescent="0.25">
      <c r="B32" s="108" t="s">
        <v>936</v>
      </c>
      <c r="C32" s="116"/>
      <c r="D32" s="116"/>
      <c r="E32" s="116"/>
      <c r="F32" s="116"/>
      <c r="G32" s="116"/>
      <c r="H32" s="1177">
        <f>' Field Task'!I40</f>
        <v>913</v>
      </c>
      <c r="I32" s="1322" t="s">
        <v>436</v>
      </c>
      <c r="J32" s="1324"/>
      <c r="K32" s="1192" t="str">
        <f t="shared" si="2"/>
        <v/>
      </c>
    </row>
    <row r="33" spans="2:11" x14ac:dyDescent="0.25">
      <c r="B33" s="108" t="s">
        <v>937</v>
      </c>
      <c r="C33" s="116"/>
      <c r="D33" s="116"/>
      <c r="E33" s="116"/>
      <c r="F33" s="116"/>
      <c r="G33" s="116"/>
      <c r="H33" s="1177">
        <f>' Field Task'!I42</f>
        <v>1154</v>
      </c>
      <c r="I33" s="1322" t="s">
        <v>436</v>
      </c>
      <c r="J33" s="1324"/>
      <c r="K33" s="1192" t="str">
        <f t="shared" si="2"/>
        <v/>
      </c>
    </row>
    <row r="34" spans="2:11" ht="13.8" thickBot="1" x14ac:dyDescent="0.3">
      <c r="B34" s="108" t="s">
        <v>938</v>
      </c>
      <c r="C34" s="116"/>
      <c r="D34" s="116"/>
      <c r="E34" s="116"/>
      <c r="F34" s="116"/>
      <c r="G34" s="116"/>
      <c r="H34" s="1177">
        <f>' Field Task'!I44</f>
        <v>1395</v>
      </c>
      <c r="I34" s="1322" t="s">
        <v>436</v>
      </c>
      <c r="J34" s="1327"/>
      <c r="K34" s="1192" t="str">
        <f t="shared" si="2"/>
        <v/>
      </c>
    </row>
    <row r="35" spans="2:11" ht="13.8" thickBot="1" x14ac:dyDescent="0.3">
      <c r="B35" s="802" t="s">
        <v>941</v>
      </c>
      <c r="C35" s="803"/>
      <c r="D35" s="803"/>
      <c r="E35" s="803"/>
      <c r="F35" s="803"/>
      <c r="G35" s="803"/>
      <c r="H35" s="1281"/>
      <c r="I35" s="803"/>
      <c r="J35" s="803"/>
      <c r="K35" s="1282"/>
    </row>
    <row r="36" spans="2:11" ht="0.15" customHeight="1" thickBot="1" x14ac:dyDescent="0.3">
      <c r="B36" s="572"/>
      <c r="C36" s="282"/>
      <c r="D36" s="282"/>
      <c r="E36" s="282"/>
      <c r="F36" s="282"/>
      <c r="G36" s="282"/>
      <c r="H36" s="1206"/>
      <c r="I36" s="1305"/>
      <c r="J36" s="1519"/>
      <c r="K36" s="1196"/>
    </row>
    <row r="37" spans="2:11" x14ac:dyDescent="0.25">
      <c r="B37" s="108" t="s">
        <v>948</v>
      </c>
      <c r="C37" s="282"/>
      <c r="D37" s="282"/>
      <c r="E37" s="282"/>
      <c r="F37" s="282"/>
      <c r="G37" s="282"/>
      <c r="H37" s="1176">
        <f>' Field Task'!I58</f>
        <v>482</v>
      </c>
      <c r="I37" s="1322" t="s">
        <v>436</v>
      </c>
      <c r="J37" s="1323"/>
      <c r="K37" s="1192" t="str">
        <f>IF(J37&lt;1,"",J37*H37)</f>
        <v/>
      </c>
    </row>
    <row r="38" spans="2:11" x14ac:dyDescent="0.25">
      <c r="B38" s="108" t="s">
        <v>949</v>
      </c>
      <c r="C38" s="116"/>
      <c r="D38" s="116"/>
      <c r="E38" s="116"/>
      <c r="F38" s="116"/>
      <c r="G38" s="116"/>
      <c r="H38" s="1177">
        <f>' Field Task'!I60</f>
        <v>723</v>
      </c>
      <c r="I38" s="1322" t="s">
        <v>436</v>
      </c>
      <c r="J38" s="1324"/>
      <c r="K38" s="1192" t="str">
        <f>IF(J38&lt;1,"",J38*H38)</f>
        <v/>
      </c>
    </row>
    <row r="39" spans="2:11" x14ac:dyDescent="0.25">
      <c r="B39" s="108" t="s">
        <v>950</v>
      </c>
      <c r="C39" s="116"/>
      <c r="D39" s="116"/>
      <c r="E39" s="116"/>
      <c r="F39" s="116"/>
      <c r="G39" s="116"/>
      <c r="H39" s="1177">
        <f>' Field Task'!I62</f>
        <v>964</v>
      </c>
      <c r="I39" s="1322" t="s">
        <v>436</v>
      </c>
      <c r="J39" s="1324"/>
      <c r="K39" s="1192" t="str">
        <f>IF(J39&lt;1,"",J39*H39)</f>
        <v/>
      </c>
    </row>
    <row r="40" spans="2:11" x14ac:dyDescent="0.25">
      <c r="B40" s="108" t="s">
        <v>951</v>
      </c>
      <c r="C40" s="116"/>
      <c r="D40" s="116"/>
      <c r="E40" s="116"/>
      <c r="F40" s="116"/>
      <c r="G40" s="116"/>
      <c r="H40" s="1177">
        <f>' Field Task'!I64</f>
        <v>1205</v>
      </c>
      <c r="I40" s="1322" t="s">
        <v>436</v>
      </c>
      <c r="J40" s="1324"/>
      <c r="K40" s="1192" t="str">
        <f>IF(J40&lt;1,"",J40*H40)</f>
        <v/>
      </c>
    </row>
    <row r="41" spans="2:11" ht="13.8" thickBot="1" x14ac:dyDescent="0.3">
      <c r="B41" s="108" t="s">
        <v>952</v>
      </c>
      <c r="C41" s="116"/>
      <c r="D41" s="116"/>
      <c r="E41" s="116"/>
      <c r="F41" s="116"/>
      <c r="G41" s="116"/>
      <c r="H41" s="1177">
        <f>' Field Task'!I66</f>
        <v>1446</v>
      </c>
      <c r="I41" s="1322" t="s">
        <v>436</v>
      </c>
      <c r="J41" s="1327"/>
      <c r="K41" s="1192" t="str">
        <f>IF(J41&lt;1,"",J41*H41)</f>
        <v/>
      </c>
    </row>
    <row r="42" spans="2:11" ht="13.95" customHeight="1" thickBot="1" x14ac:dyDescent="0.3">
      <c r="B42" s="793" t="s">
        <v>803</v>
      </c>
      <c r="C42" s="794"/>
      <c r="D42" s="794"/>
      <c r="E42" s="794"/>
      <c r="F42" s="794"/>
      <c r="G42" s="794"/>
      <c r="H42" s="1279"/>
      <c r="I42" s="794"/>
      <c r="J42" s="794"/>
      <c r="K42" s="1280"/>
    </row>
    <row r="43" spans="2:11" x14ac:dyDescent="0.25">
      <c r="B43" s="108" t="s">
        <v>813</v>
      </c>
      <c r="C43" s="116"/>
      <c r="D43" s="116"/>
      <c r="E43" s="116"/>
      <c r="F43" s="116"/>
      <c r="G43" s="116"/>
      <c r="H43" s="1177">
        <f>' Field Task'!I70</f>
        <v>153</v>
      </c>
      <c r="I43" s="1322" t="s">
        <v>436</v>
      </c>
      <c r="J43" s="1328"/>
      <c r="K43" s="1192" t="str">
        <f t="shared" si="2"/>
        <v/>
      </c>
    </row>
    <row r="44" spans="2:11" x14ac:dyDescent="0.25">
      <c r="B44" s="108" t="s">
        <v>814</v>
      </c>
      <c r="C44" s="116"/>
      <c r="D44" s="116"/>
      <c r="E44" s="116"/>
      <c r="F44" s="116"/>
      <c r="G44" s="116"/>
      <c r="H44" s="1177">
        <f>' Field Task'!I72</f>
        <v>255</v>
      </c>
      <c r="I44" s="1322" t="s">
        <v>436</v>
      </c>
      <c r="J44" s="1324"/>
      <c r="K44" s="1192" t="str">
        <f t="shared" si="2"/>
        <v/>
      </c>
    </row>
    <row r="45" spans="2:11" x14ac:dyDescent="0.25">
      <c r="B45" s="108" t="s">
        <v>815</v>
      </c>
      <c r="C45" s="116"/>
      <c r="D45" s="116"/>
      <c r="E45" s="116"/>
      <c r="F45" s="116"/>
      <c r="G45" s="116"/>
      <c r="H45" s="1177">
        <f>' Field Task'!I74</f>
        <v>357</v>
      </c>
      <c r="I45" s="1322" t="s">
        <v>436</v>
      </c>
      <c r="J45" s="1324"/>
      <c r="K45" s="1192" t="str">
        <f t="shared" si="2"/>
        <v/>
      </c>
    </row>
    <row r="46" spans="2:11" x14ac:dyDescent="0.25">
      <c r="B46" s="108" t="s">
        <v>816</v>
      </c>
      <c r="C46" s="116"/>
      <c r="D46" s="116"/>
      <c r="E46" s="116"/>
      <c r="F46" s="116"/>
      <c r="G46" s="116"/>
      <c r="H46" s="1177">
        <f>' Field Task'!I76</f>
        <v>561</v>
      </c>
      <c r="I46" s="1322" t="s">
        <v>436</v>
      </c>
      <c r="J46" s="1323"/>
      <c r="K46" s="1192" t="str">
        <f>IF(J46&lt;1,"",J46*H46)</f>
        <v/>
      </c>
    </row>
    <row r="47" spans="2:11" x14ac:dyDescent="0.25">
      <c r="B47" s="108" t="s">
        <v>669</v>
      </c>
      <c r="C47" s="116"/>
      <c r="D47" s="116"/>
      <c r="E47" s="116"/>
      <c r="F47" s="116"/>
      <c r="G47" s="116"/>
      <c r="H47" s="1177">
        <f>('Maximum Rates'!D7)*10</f>
        <v>1020</v>
      </c>
      <c r="I47" s="1329" t="s">
        <v>395</v>
      </c>
      <c r="J47" s="1327"/>
      <c r="K47" s="1192" t="str">
        <f t="shared" si="2"/>
        <v/>
      </c>
    </row>
    <row r="48" spans="2:11" ht="13.8" thickBot="1" x14ac:dyDescent="0.3">
      <c r="B48" s="154" t="s">
        <v>1304</v>
      </c>
      <c r="C48" s="151"/>
      <c r="D48" s="151"/>
      <c r="E48" s="151"/>
      <c r="F48" s="151"/>
      <c r="G48" s="116"/>
      <c r="H48" s="1177">
        <f>' Field Task'!C140</f>
        <v>1440</v>
      </c>
      <c r="I48" s="1322" t="s">
        <v>395</v>
      </c>
      <c r="J48" s="1327"/>
      <c r="K48" s="1192" t="str">
        <f t="shared" si="2"/>
        <v/>
      </c>
    </row>
    <row r="49" spans="2:11" ht="13.95" customHeight="1" thickBot="1" x14ac:dyDescent="0.3">
      <c r="B49" s="723" t="s">
        <v>719</v>
      </c>
      <c r="C49" s="724"/>
      <c r="D49" s="724"/>
      <c r="E49" s="724"/>
      <c r="F49" s="724"/>
      <c r="G49" s="724"/>
      <c r="H49" s="724"/>
      <c r="I49" s="724"/>
      <c r="J49" s="724"/>
      <c r="K49" s="1278"/>
    </row>
    <row r="50" spans="2:11" x14ac:dyDescent="0.25">
      <c r="B50" s="182" t="s">
        <v>1207</v>
      </c>
      <c r="C50" s="183"/>
      <c r="D50" s="183"/>
      <c r="E50" s="183"/>
      <c r="F50" s="183"/>
      <c r="G50" s="1330"/>
      <c r="H50" s="1695">
        <f>' Field Task'!I88</f>
        <v>111</v>
      </c>
      <c r="I50" s="1330" t="s">
        <v>436</v>
      </c>
      <c r="J50" s="1331"/>
      <c r="K50" s="1197" t="str">
        <f t="shared" si="2"/>
        <v/>
      </c>
    </row>
    <row r="51" spans="2:11" x14ac:dyDescent="0.25">
      <c r="B51" s="108" t="s">
        <v>356</v>
      </c>
      <c r="C51" s="116"/>
      <c r="D51" s="116"/>
      <c r="E51" s="116"/>
      <c r="F51" s="116"/>
      <c r="G51" s="1329"/>
      <c r="H51" s="1177">
        <f>' Field Task'!I86</f>
        <v>352</v>
      </c>
      <c r="I51" s="1329" t="s">
        <v>436</v>
      </c>
      <c r="J51" s="1328"/>
      <c r="K51" s="1192" t="str">
        <f t="shared" si="2"/>
        <v/>
      </c>
    </row>
    <row r="52" spans="2:11" x14ac:dyDescent="0.25">
      <c r="B52" s="108" t="s">
        <v>523</v>
      </c>
      <c r="C52" s="116"/>
      <c r="D52" s="116"/>
      <c r="E52" s="116"/>
      <c r="F52" s="116"/>
      <c r="G52" s="1329"/>
      <c r="H52" s="1177">
        <f>' Field Task'!I82</f>
        <v>408</v>
      </c>
      <c r="I52" s="1322" t="s">
        <v>269</v>
      </c>
      <c r="J52" s="1324"/>
      <c r="K52" s="1192" t="str">
        <f t="shared" si="2"/>
        <v/>
      </c>
    </row>
    <row r="53" spans="2:11" x14ac:dyDescent="0.25">
      <c r="B53" s="108" t="s">
        <v>1204</v>
      </c>
      <c r="C53" s="116"/>
      <c r="D53" s="116"/>
      <c r="E53" s="116"/>
      <c r="F53" s="116"/>
      <c r="G53" s="1329"/>
      <c r="H53" s="1177">
        <f>' Field Task'!I84</f>
        <v>296</v>
      </c>
      <c r="I53" s="1322" t="s">
        <v>612</v>
      </c>
      <c r="J53" s="1324"/>
      <c r="K53" s="1192" t="str">
        <f t="shared" si="2"/>
        <v/>
      </c>
    </row>
    <row r="54" spans="2:11" x14ac:dyDescent="0.25">
      <c r="B54" s="108" t="s">
        <v>1279</v>
      </c>
      <c r="C54" s="116"/>
      <c r="D54" s="116"/>
      <c r="E54" s="116"/>
      <c r="F54" s="116"/>
      <c r="G54" s="1329"/>
      <c r="H54" s="1177">
        <f>' Field Task'!I127</f>
        <v>102</v>
      </c>
      <c r="I54" s="1322" t="s">
        <v>414</v>
      </c>
      <c r="J54" s="1324"/>
      <c r="K54" s="1192" t="str">
        <f t="shared" ref="K54:K59" si="3">IF(J54&lt;1,"",J54*H54)</f>
        <v/>
      </c>
    </row>
    <row r="55" spans="2:11" x14ac:dyDescent="0.25">
      <c r="B55" s="108" t="s">
        <v>1205</v>
      </c>
      <c r="C55" s="116"/>
      <c r="D55" s="116"/>
      <c r="E55" s="116"/>
      <c r="F55" s="116"/>
      <c r="G55" s="1329"/>
      <c r="H55" s="1177">
        <f>' Field Task'!I123</f>
        <v>306</v>
      </c>
      <c r="I55" s="1322" t="s">
        <v>436</v>
      </c>
      <c r="J55" s="1324"/>
      <c r="K55" s="1192" t="str">
        <f t="shared" si="3"/>
        <v/>
      </c>
    </row>
    <row r="56" spans="2:11" x14ac:dyDescent="0.25">
      <c r="B56" s="108" t="s">
        <v>1206</v>
      </c>
      <c r="C56" s="116"/>
      <c r="D56" s="116"/>
      <c r="E56" s="116"/>
      <c r="F56" s="116"/>
      <c r="G56" s="1329"/>
      <c r="H56" s="1177">
        <f>' Field Task'!I125</f>
        <v>153</v>
      </c>
      <c r="I56" s="1322" t="s">
        <v>436</v>
      </c>
      <c r="J56" s="1324"/>
      <c r="K56" s="1192" t="str">
        <f t="shared" si="3"/>
        <v/>
      </c>
    </row>
    <row r="57" spans="2:11" x14ac:dyDescent="0.25">
      <c r="B57" s="108" t="s">
        <v>859</v>
      </c>
      <c r="C57" s="116"/>
      <c r="D57" s="116"/>
      <c r="E57" s="116"/>
      <c r="F57" s="116"/>
      <c r="G57" s="1329"/>
      <c r="H57" s="1177">
        <f>' Field Task'!I80</f>
        <v>148</v>
      </c>
      <c r="I57" s="1329" t="s">
        <v>436</v>
      </c>
      <c r="J57" s="1324"/>
      <c r="K57" s="1192" t="str">
        <f t="shared" si="3"/>
        <v/>
      </c>
    </row>
    <row r="58" spans="2:11" x14ac:dyDescent="0.25">
      <c r="B58" s="108" t="s">
        <v>1226</v>
      </c>
      <c r="C58" s="116"/>
      <c r="D58" s="116"/>
      <c r="E58" s="116"/>
      <c r="F58" s="116"/>
      <c r="G58" s="1329"/>
      <c r="H58" s="1203">
        <f>' Field Task'!I90</f>
        <v>148</v>
      </c>
      <c r="I58" s="1322" t="s">
        <v>612</v>
      </c>
      <c r="J58" s="1324"/>
      <c r="K58" s="1192" t="str">
        <f t="shared" si="3"/>
        <v/>
      </c>
    </row>
    <row r="59" spans="2:11" x14ac:dyDescent="0.25">
      <c r="B59" s="154" t="s">
        <v>1231</v>
      </c>
      <c r="C59" s="151"/>
      <c r="D59" s="151"/>
      <c r="E59" s="151"/>
      <c r="F59" s="151"/>
      <c r="G59" s="1332"/>
      <c r="H59" s="1203">
        <f>' Field Task'!I92</f>
        <v>111</v>
      </c>
      <c r="I59" s="1333" t="s">
        <v>612</v>
      </c>
      <c r="J59" s="1324"/>
      <c r="K59" s="1192" t="str">
        <f t="shared" si="3"/>
        <v/>
      </c>
    </row>
    <row r="60" spans="2:11" x14ac:dyDescent="0.25">
      <c r="B60" s="108" t="s">
        <v>396</v>
      </c>
      <c r="C60" s="116"/>
      <c r="D60" s="116"/>
      <c r="E60" s="116"/>
      <c r="F60" s="116"/>
      <c r="G60" s="1329"/>
      <c r="H60" s="1177">
        <f>' Field Task'!I94</f>
        <v>18.5</v>
      </c>
      <c r="I60" s="1334" t="s">
        <v>436</v>
      </c>
      <c r="J60" s="1324"/>
      <c r="K60" s="1192" t="str">
        <f t="shared" si="2"/>
        <v/>
      </c>
    </row>
    <row r="61" spans="2:11" x14ac:dyDescent="0.25">
      <c r="B61" s="108" t="s">
        <v>263</v>
      </c>
      <c r="C61" s="116"/>
      <c r="D61" s="116"/>
      <c r="E61" s="116"/>
      <c r="F61" s="116"/>
      <c r="G61" s="1329"/>
      <c r="H61" s="1177">
        <f>' Field Task'!I96</f>
        <v>74</v>
      </c>
      <c r="I61" s="1322" t="s">
        <v>436</v>
      </c>
      <c r="J61" s="1324"/>
      <c r="K61" s="1194" t="str">
        <f t="shared" si="2"/>
        <v/>
      </c>
    </row>
    <row r="62" spans="2:11" ht="13.8" thickBot="1" x14ac:dyDescent="0.3">
      <c r="B62" s="128" t="s">
        <v>264</v>
      </c>
      <c r="C62" s="118"/>
      <c r="D62" s="118"/>
      <c r="E62" s="118"/>
      <c r="F62" s="318">
        <f>SUM(J61:J63)</f>
        <v>0</v>
      </c>
      <c r="G62" s="1335"/>
      <c r="H62" s="1204">
        <f>' Field Task'!I98</f>
        <v>85.1</v>
      </c>
      <c r="I62" s="1336" t="s">
        <v>436</v>
      </c>
      <c r="J62" s="1337"/>
      <c r="K62" s="1198" t="str">
        <f t="shared" si="2"/>
        <v/>
      </c>
    </row>
    <row r="63" spans="2:11" x14ac:dyDescent="0.25">
      <c r="B63" s="182" t="s">
        <v>265</v>
      </c>
      <c r="C63" s="183"/>
      <c r="D63" s="183"/>
      <c r="E63" s="183"/>
      <c r="F63" s="1306">
        <f>(SUM(J61:J63)*'Maximum Rates'!C18)</f>
        <v>0</v>
      </c>
      <c r="G63" s="1330"/>
      <c r="H63" s="1695">
        <f>' Field Task'!I100</f>
        <v>92.5</v>
      </c>
      <c r="I63" s="1338" t="s">
        <v>436</v>
      </c>
      <c r="J63" s="1339"/>
      <c r="K63" s="1197" t="str">
        <f t="shared" si="2"/>
        <v/>
      </c>
    </row>
    <row r="64" spans="2:11" x14ac:dyDescent="0.25">
      <c r="B64" s="108" t="s">
        <v>110</v>
      </c>
      <c r="C64" s="116"/>
      <c r="D64" s="116"/>
      <c r="E64" s="116"/>
      <c r="F64" s="114"/>
      <c r="G64" s="1329"/>
      <c r="H64" s="1177">
        <f>' Field Task'!I102</f>
        <v>148</v>
      </c>
      <c r="I64" s="1322" t="s">
        <v>436</v>
      </c>
      <c r="J64" s="1324"/>
      <c r="K64" s="1192" t="str">
        <f t="shared" si="2"/>
        <v/>
      </c>
    </row>
    <row r="65" spans="2:11" x14ac:dyDescent="0.25">
      <c r="B65" s="108" t="s">
        <v>111</v>
      </c>
      <c r="C65" s="116"/>
      <c r="D65" s="116"/>
      <c r="E65" s="116"/>
      <c r="F65" s="114"/>
      <c r="G65" s="1329"/>
      <c r="H65" s="1177">
        <f>' Field Task'!I104</f>
        <v>111</v>
      </c>
      <c r="I65" s="1322" t="s">
        <v>436</v>
      </c>
      <c r="J65" s="1324"/>
      <c r="K65" s="1192" t="str">
        <f t="shared" si="2"/>
        <v/>
      </c>
    </row>
    <row r="66" spans="2:11" x14ac:dyDescent="0.25">
      <c r="B66" s="108" t="s">
        <v>266</v>
      </c>
      <c r="C66" s="116"/>
      <c r="D66" s="116"/>
      <c r="E66" s="116"/>
      <c r="F66" s="114"/>
      <c r="G66" s="1329"/>
      <c r="H66" s="1177">
        <f>' Field Task'!I106</f>
        <v>111</v>
      </c>
      <c r="I66" s="1340" t="s">
        <v>267</v>
      </c>
      <c r="J66" s="1324"/>
      <c r="K66" s="1194" t="str">
        <f t="shared" si="2"/>
        <v/>
      </c>
    </row>
    <row r="67" spans="2:11" x14ac:dyDescent="0.25">
      <c r="B67" s="154" t="s">
        <v>1054</v>
      </c>
      <c r="C67" s="151"/>
      <c r="D67" s="151"/>
      <c r="E67" s="151"/>
      <c r="F67" s="1140"/>
      <c r="G67" s="1329"/>
      <c r="H67" s="1203">
        <f>' Field Task'!I108</f>
        <v>204</v>
      </c>
      <c r="I67" s="1322" t="s">
        <v>612</v>
      </c>
      <c r="J67" s="1324"/>
      <c r="K67" s="1194" t="str">
        <f t="shared" si="2"/>
        <v/>
      </c>
    </row>
    <row r="68" spans="2:11" x14ac:dyDescent="0.25">
      <c r="B68" s="154" t="s">
        <v>1055</v>
      </c>
      <c r="C68" s="151"/>
      <c r="D68" s="151"/>
      <c r="E68" s="151"/>
      <c r="F68" s="1140"/>
      <c r="G68" s="1329"/>
      <c r="H68" s="1203">
        <f>' Field Task'!I110</f>
        <v>102</v>
      </c>
      <c r="I68" s="1322" t="s">
        <v>612</v>
      </c>
      <c r="J68" s="1324"/>
      <c r="K68" s="1194" t="str">
        <f t="shared" si="2"/>
        <v/>
      </c>
    </row>
    <row r="69" spans="2:11" x14ac:dyDescent="0.25">
      <c r="B69" s="108" t="s">
        <v>1019</v>
      </c>
      <c r="C69" s="116"/>
      <c r="D69" s="116"/>
      <c r="E69" s="116"/>
      <c r="F69" s="115"/>
      <c r="G69" s="1329"/>
      <c r="H69" s="1177">
        <f>'Maximum Rates'!D9</f>
        <v>74</v>
      </c>
      <c r="I69" s="1329" t="s">
        <v>41</v>
      </c>
      <c r="J69" s="1324"/>
      <c r="K69" s="1192" t="str">
        <f t="shared" si="2"/>
        <v/>
      </c>
    </row>
    <row r="70" spans="2:11" x14ac:dyDescent="0.25">
      <c r="B70" s="108" t="s">
        <v>44</v>
      </c>
      <c r="C70" s="116"/>
      <c r="D70" s="116"/>
      <c r="E70" s="116"/>
      <c r="F70" s="116"/>
      <c r="G70" s="1329"/>
      <c r="H70" s="1177">
        <f>('Maximum Rates'!D7)+'Maximum Rates'!D9</f>
        <v>176</v>
      </c>
      <c r="I70" s="1322" t="s">
        <v>41</v>
      </c>
      <c r="J70" s="1324"/>
      <c r="K70" s="1192" t="str">
        <f t="shared" si="2"/>
        <v/>
      </c>
    </row>
    <row r="71" spans="2:11" x14ac:dyDescent="0.25">
      <c r="B71" s="108" t="s">
        <v>634</v>
      </c>
      <c r="C71" s="116"/>
      <c r="D71" s="116"/>
      <c r="E71" s="116"/>
      <c r="F71" s="116"/>
      <c r="G71" s="1329"/>
      <c r="H71" s="1177">
        <f>' Field Task'!I113</f>
        <v>918</v>
      </c>
      <c r="I71" s="1334" t="s">
        <v>751</v>
      </c>
      <c r="J71" s="1324"/>
      <c r="K71" s="1194" t="str">
        <f t="shared" si="2"/>
        <v/>
      </c>
    </row>
    <row r="72" spans="2:11" x14ac:dyDescent="0.25">
      <c r="B72" s="108" t="s">
        <v>974</v>
      </c>
      <c r="C72" s="116"/>
      <c r="D72" s="116"/>
      <c r="E72" s="116"/>
      <c r="F72" s="116"/>
      <c r="G72" s="1329"/>
      <c r="H72" s="1177">
        <f>'Corrective Action Plans'!L175</f>
        <v>1120</v>
      </c>
      <c r="I72" s="1322" t="s">
        <v>363</v>
      </c>
      <c r="J72" s="1324"/>
      <c r="K72" s="1192" t="str">
        <f t="shared" si="2"/>
        <v/>
      </c>
    </row>
    <row r="73" spans="2:11" x14ac:dyDescent="0.25">
      <c r="B73" s="108" t="s">
        <v>481</v>
      </c>
      <c r="C73" s="116"/>
      <c r="D73" s="116"/>
      <c r="E73" s="116"/>
      <c r="F73" s="116"/>
      <c r="G73" s="1329"/>
      <c r="H73" s="1177">
        <f>' Field Task'!C130</f>
        <v>10212</v>
      </c>
      <c r="I73" s="1329" t="s">
        <v>483</v>
      </c>
      <c r="J73" s="1324"/>
      <c r="K73" s="1192" t="str">
        <f t="shared" si="2"/>
        <v/>
      </c>
    </row>
    <row r="74" spans="2:11" x14ac:dyDescent="0.25">
      <c r="B74" s="108" t="s">
        <v>485</v>
      </c>
      <c r="C74" s="116"/>
      <c r="D74" s="116"/>
      <c r="E74" s="116"/>
      <c r="F74" s="116"/>
      <c r="G74" s="1329"/>
      <c r="H74" s="1177">
        <f>' Field Task'!C135</f>
        <v>1142</v>
      </c>
      <c r="I74" s="1329" t="s">
        <v>395</v>
      </c>
      <c r="J74" s="1324"/>
      <c r="K74" s="1192" t="str">
        <f t="shared" si="2"/>
        <v/>
      </c>
    </row>
    <row r="75" spans="2:11" x14ac:dyDescent="0.25">
      <c r="B75" s="108" t="s">
        <v>482</v>
      </c>
      <c r="C75" s="116"/>
      <c r="D75" s="116"/>
      <c r="E75" s="116"/>
      <c r="F75" s="116"/>
      <c r="G75" s="1329"/>
      <c r="H75" s="1177">
        <f>' Field Task'!I130</f>
        <v>1952</v>
      </c>
      <c r="I75" s="1329" t="s">
        <v>483</v>
      </c>
      <c r="J75" s="1324"/>
      <c r="K75" s="1192" t="str">
        <f>IF(J75&lt;1,"",J75*H75)</f>
        <v/>
      </c>
    </row>
    <row r="76" spans="2:11" x14ac:dyDescent="0.25">
      <c r="B76" s="154" t="s">
        <v>1056</v>
      </c>
      <c r="C76" s="151"/>
      <c r="D76" s="151"/>
      <c r="E76" s="151"/>
      <c r="F76" s="116"/>
      <c r="G76" s="1329"/>
      <c r="H76" s="1203">
        <f>' Field Task'!I135</f>
        <v>1212</v>
      </c>
      <c r="I76" s="1322" t="s">
        <v>395</v>
      </c>
      <c r="J76" s="1324"/>
      <c r="K76" s="1192" t="str">
        <f>IF(J76&lt;1,"",J76*H76)</f>
        <v/>
      </c>
    </row>
    <row r="77" spans="2:11" x14ac:dyDescent="0.25">
      <c r="B77" s="108" t="s">
        <v>805</v>
      </c>
      <c r="C77" s="116"/>
      <c r="D77" s="116"/>
      <c r="E77" s="116"/>
      <c r="F77" s="116"/>
      <c r="G77" s="1329"/>
      <c r="H77" s="1177">
        <f>' Field Task'!I115</f>
        <v>4528</v>
      </c>
      <c r="I77" s="1322" t="s">
        <v>283</v>
      </c>
      <c r="J77" s="1324"/>
      <c r="K77" s="1192" t="str">
        <f t="shared" si="2"/>
        <v/>
      </c>
    </row>
    <row r="78" spans="2:11" x14ac:dyDescent="0.25">
      <c r="B78" s="108" t="s">
        <v>806</v>
      </c>
      <c r="C78" s="116"/>
      <c r="D78" s="116"/>
      <c r="E78" s="116"/>
      <c r="F78" s="116"/>
      <c r="G78" s="1329"/>
      <c r="H78" s="1177">
        <f>' Field Task'!I119</f>
        <v>5712</v>
      </c>
      <c r="I78" s="1329" t="s">
        <v>58</v>
      </c>
      <c r="J78" s="1324"/>
      <c r="K78" s="1192" t="str">
        <f t="shared" si="2"/>
        <v/>
      </c>
    </row>
    <row r="79" spans="2:11" x14ac:dyDescent="0.25">
      <c r="B79" s="108" t="s">
        <v>789</v>
      </c>
      <c r="C79" s="116"/>
      <c r="D79" s="116"/>
      <c r="E79" s="116"/>
      <c r="F79" s="116"/>
      <c r="G79" s="1329"/>
      <c r="H79" s="1177">
        <f>' Field Task'!I117</f>
        <v>2264</v>
      </c>
      <c r="I79" s="1322" t="s">
        <v>283</v>
      </c>
      <c r="J79" s="1324"/>
      <c r="K79" s="1192" t="str">
        <f t="shared" si="2"/>
        <v/>
      </c>
    </row>
    <row r="80" spans="2:11" x14ac:dyDescent="0.25">
      <c r="B80" s="108" t="s">
        <v>790</v>
      </c>
      <c r="C80" s="116"/>
      <c r="D80" s="116"/>
      <c r="E80" s="116"/>
      <c r="F80" s="116"/>
      <c r="G80" s="1329"/>
      <c r="H80" s="1177">
        <f>' Field Task'!I121</f>
        <v>2856</v>
      </c>
      <c r="I80" s="1322" t="s">
        <v>58</v>
      </c>
      <c r="J80" s="1324"/>
      <c r="K80" s="1192" t="str">
        <f t="shared" si="2"/>
        <v/>
      </c>
    </row>
    <row r="81" spans="2:12" ht="13.95" customHeight="1" x14ac:dyDescent="0.25">
      <c r="B81" s="154" t="s">
        <v>1242</v>
      </c>
      <c r="C81" s="116"/>
      <c r="D81" s="1312"/>
      <c r="E81" s="1313"/>
      <c r="F81" s="1314"/>
      <c r="G81" s="2318"/>
      <c r="H81" s="2318"/>
      <c r="I81" s="1329"/>
      <c r="J81" s="1324"/>
      <c r="K81" s="1192" t="str">
        <f>IF(J81&lt;1,"",J81*G81)</f>
        <v/>
      </c>
    </row>
    <row r="82" spans="2:12" ht="13.95" customHeight="1" x14ac:dyDescent="0.25">
      <c r="B82" s="154" t="s">
        <v>939</v>
      </c>
      <c r="C82" s="151"/>
      <c r="D82" s="1307"/>
      <c r="E82" s="1307"/>
      <c r="F82" s="1308"/>
      <c r="G82" s="2324" t="str">
        <f>IF('Form "F" Details'!K45="","",'Form "F" Details'!K45)</f>
        <v/>
      </c>
      <c r="H82" s="2324"/>
      <c r="I82" s="1329"/>
      <c r="J82" s="1341" t="str">
        <f>IF(G82="","",1)</f>
        <v/>
      </c>
      <c r="K82" s="1192" t="str">
        <f>IF(G82&gt;0,G82,"")</f>
        <v/>
      </c>
    </row>
    <row r="83" spans="2:12" ht="13.8" thickBot="1" x14ac:dyDescent="0.3">
      <c r="B83" s="155" t="s">
        <v>1146</v>
      </c>
      <c r="C83" s="157"/>
      <c r="D83" s="157"/>
      <c r="E83" s="157"/>
      <c r="F83" s="118"/>
      <c r="G83" s="2319" t="str">
        <f>IF('Form "F" Details'!K116="","",'Form "F" Details'!K116)</f>
        <v/>
      </c>
      <c r="H83" s="2319"/>
      <c r="I83" s="1342">
        <f>SUM(K127:K156)</f>
        <v>0</v>
      </c>
      <c r="J83" s="1343" t="str">
        <f>IF(G83="","",1)</f>
        <v/>
      </c>
      <c r="K83" s="1193" t="str">
        <f>IF(G83&gt;0,G83,"")</f>
        <v/>
      </c>
    </row>
    <row r="84" spans="2:12" ht="16.2" thickBot="1" x14ac:dyDescent="0.35">
      <c r="B84" s="759" t="s">
        <v>619</v>
      </c>
      <c r="C84" s="760"/>
      <c r="D84" s="760"/>
      <c r="E84" s="760"/>
      <c r="F84" s="760"/>
      <c r="G84" s="760"/>
      <c r="H84" s="760"/>
      <c r="I84" s="760"/>
      <c r="J84" s="760"/>
      <c r="K84" s="1277"/>
    </row>
    <row r="85" spans="2:12" x14ac:dyDescent="0.25">
      <c r="B85" s="433" t="s">
        <v>1021</v>
      </c>
      <c r="C85" s="434"/>
      <c r="D85" s="434"/>
      <c r="E85" s="434"/>
      <c r="F85" s="434"/>
      <c r="G85" s="434"/>
      <c r="H85" s="434"/>
      <c r="I85" s="434"/>
      <c r="J85" s="1344"/>
      <c r="K85" s="1199"/>
    </row>
    <row r="86" spans="2:12" x14ac:dyDescent="0.25">
      <c r="B86" s="333" t="s">
        <v>975</v>
      </c>
      <c r="C86" s="334"/>
      <c r="D86" s="334"/>
      <c r="E86" s="334"/>
      <c r="F86" s="2326"/>
      <c r="G86" s="2326"/>
      <c r="H86" s="113"/>
      <c r="I86" s="1520"/>
      <c r="J86" s="1324"/>
      <c r="K86" s="1200"/>
    </row>
    <row r="87" spans="2:12" x14ac:dyDescent="0.25">
      <c r="B87" s="303">
        <v>0</v>
      </c>
      <c r="C87" s="334" t="s">
        <v>981</v>
      </c>
      <c r="D87" s="334"/>
      <c r="E87" s="334"/>
      <c r="F87" s="334"/>
      <c r="G87" s="116"/>
      <c r="H87" s="113"/>
      <c r="I87" s="124"/>
      <c r="J87" s="1324"/>
      <c r="K87" s="1192" t="str">
        <f>IF(J87&lt;1,"",(((J86*2)*J85)*J87))</f>
        <v/>
      </c>
    </row>
    <row r="88" spans="2:12" x14ac:dyDescent="0.25">
      <c r="B88" s="804" t="s">
        <v>2</v>
      </c>
      <c r="C88" s="805"/>
      <c r="D88" s="805"/>
      <c r="E88" s="805"/>
      <c r="F88" s="805"/>
      <c r="G88" s="116"/>
      <c r="H88" s="186">
        <f>J85</f>
        <v>0</v>
      </c>
      <c r="I88" s="124"/>
      <c r="J88" s="1324"/>
      <c r="K88" s="1192" t="str">
        <f>IF(J88&lt;1,"",(J88*J85))</f>
        <v/>
      </c>
    </row>
    <row r="89" spans="2:12" x14ac:dyDescent="0.25">
      <c r="B89" s="1346" t="s">
        <v>1256</v>
      </c>
      <c r="C89" s="769"/>
      <c r="D89" s="769"/>
      <c r="E89" s="769"/>
      <c r="F89" s="769"/>
      <c r="G89" s="769"/>
      <c r="H89" s="769"/>
      <c r="I89" s="769"/>
      <c r="J89" s="769"/>
      <c r="K89" s="1347"/>
    </row>
    <row r="90" spans="2:12" x14ac:dyDescent="0.25">
      <c r="B90" s="333" t="s">
        <v>888</v>
      </c>
      <c r="C90" s="334"/>
      <c r="D90" s="334"/>
      <c r="E90" s="334"/>
      <c r="F90" s="334"/>
      <c r="G90" s="116"/>
      <c r="H90" s="1177">
        <f>'Maximum Rates'!D9</f>
        <v>74</v>
      </c>
      <c r="I90" s="1345" t="s">
        <v>41</v>
      </c>
      <c r="J90" s="1324"/>
      <c r="K90" s="1192" t="str">
        <f>IF(J90="","",'Maximum Rates'!D9*J90)</f>
        <v/>
      </c>
      <c r="L90" s="412">
        <f>'Field Breakout'!P76</f>
        <v>0</v>
      </c>
    </row>
    <row r="91" spans="2:12" x14ac:dyDescent="0.25">
      <c r="B91" s="333" t="s">
        <v>889</v>
      </c>
      <c r="C91" s="334"/>
      <c r="D91" s="334"/>
      <c r="E91" s="334"/>
      <c r="F91" s="334"/>
      <c r="G91" s="116"/>
      <c r="H91" s="1177">
        <f>'Maximum Rates'!D7</f>
        <v>102</v>
      </c>
      <c r="I91" s="1345" t="s">
        <v>41</v>
      </c>
      <c r="J91" s="1323"/>
      <c r="K91" s="1192" t="str">
        <f>IF(J91="","",'Maximum Rates'!D7*J91)</f>
        <v/>
      </c>
      <c r="L91" s="412">
        <f>'Field Breakout'!O76</f>
        <v>0</v>
      </c>
    </row>
    <row r="92" spans="2:12" x14ac:dyDescent="0.25">
      <c r="B92" s="333" t="s">
        <v>890</v>
      </c>
      <c r="C92" s="334"/>
      <c r="D92" s="334"/>
      <c r="E92" s="334"/>
      <c r="F92" s="334"/>
      <c r="G92" s="116"/>
      <c r="H92" s="1177">
        <f>'Maximum Rates'!D6</f>
        <v>140</v>
      </c>
      <c r="I92" s="1345" t="s">
        <v>41</v>
      </c>
      <c r="J92" s="1323"/>
      <c r="K92" s="1192" t="str">
        <f>IF(J92="","",'Maximum Rates'!D6*J92)</f>
        <v/>
      </c>
      <c r="L92" s="412">
        <f>'Field Breakout'!N76</f>
        <v>0</v>
      </c>
    </row>
    <row r="93" spans="2:12" x14ac:dyDescent="0.25">
      <c r="B93" s="333" t="s">
        <v>891</v>
      </c>
      <c r="C93" s="334"/>
      <c r="D93" s="189"/>
      <c r="E93" s="190"/>
      <c r="F93" s="191">
        <f>((((J86*2)+J88)/50)*J90)+((((J86*2)+J88)/50*J91)+((((J86*2)+J88)/50)*J92)+((((J86*2)+J88)/50)*J93))</f>
        <v>0</v>
      </c>
      <c r="G93" s="186">
        <f>SUM(J90:J93)</f>
        <v>0</v>
      </c>
      <c r="H93" s="1177">
        <f>'Maximum Rates'!D5</f>
        <v>122</v>
      </c>
      <c r="I93" s="1345" t="s">
        <v>41</v>
      </c>
      <c r="J93" s="1323"/>
      <c r="K93" s="1192" t="str">
        <f>IF(J93="","",'Maximum Rates'!D5*J93)</f>
        <v/>
      </c>
      <c r="L93" s="412">
        <f>'Field Breakout'!M76</f>
        <v>0</v>
      </c>
    </row>
    <row r="94" spans="2:12" x14ac:dyDescent="0.25">
      <c r="B94" s="1346" t="s">
        <v>15</v>
      </c>
      <c r="C94" s="769"/>
      <c r="D94" s="769"/>
      <c r="E94" s="769"/>
      <c r="F94" s="769"/>
      <c r="G94" s="769"/>
      <c r="H94" s="769"/>
      <c r="I94" s="769"/>
      <c r="J94" s="769"/>
      <c r="K94" s="1347"/>
    </row>
    <row r="95" spans="2:12" x14ac:dyDescent="0.25">
      <c r="B95" s="333" t="s">
        <v>1428</v>
      </c>
      <c r="C95" s="334"/>
      <c r="D95" s="334"/>
      <c r="E95" s="334"/>
      <c r="F95" s="334"/>
      <c r="G95" s="116"/>
      <c r="H95" s="1177">
        <f>'Maximum Rates'!D13</f>
        <v>19</v>
      </c>
      <c r="I95" s="1345" t="s">
        <v>395</v>
      </c>
      <c r="J95" s="1349" t="str">
        <f>IF('Form "E" Per Diem'!N21=0,"",'Form "E" Per Diem'!M21)</f>
        <v/>
      </c>
      <c r="K95" s="1192" t="str">
        <f>IF(J95="","",IF((J86+J88)&lt;50,0,(IF(J95&gt;=1,J95*H95))))</f>
        <v/>
      </c>
    </row>
    <row r="96" spans="2:12" x14ac:dyDescent="0.25">
      <c r="B96" s="333" t="s">
        <v>1429</v>
      </c>
      <c r="C96" s="334"/>
      <c r="D96" s="334"/>
      <c r="E96" s="334"/>
      <c r="F96" s="334"/>
      <c r="G96" s="116"/>
      <c r="H96" s="1177">
        <f>'Maximum Rates'!D14</f>
        <v>47</v>
      </c>
      <c r="I96" s="1345" t="s">
        <v>886</v>
      </c>
      <c r="J96" s="1349" t="str">
        <f>IF('Form "E" Per Diem'!N22=0,"",'Form "E" Per Diem'!M30)</f>
        <v/>
      </c>
      <c r="K96" s="1192" t="str">
        <f>IF(J96="","",IF((J86+J88)&lt;50,0,(IF(J96&gt;=1,J96*H96))))</f>
        <v/>
      </c>
    </row>
    <row r="97" spans="2:12" ht="13.2" customHeight="1" x14ac:dyDescent="0.25">
      <c r="B97" s="804" t="s">
        <v>1432</v>
      </c>
      <c r="C97" s="805"/>
      <c r="D97" s="805"/>
      <c r="E97" s="805"/>
      <c r="F97" s="805"/>
      <c r="G97" s="116"/>
      <c r="H97" s="1176">
        <f>'Maximum Rates'!D15</f>
        <v>68</v>
      </c>
      <c r="I97" s="1350" t="s">
        <v>395</v>
      </c>
      <c r="J97" s="1349" t="str">
        <f>IF('Form "E" Per Diem'!M42=0,"",'Form "E" Per Diem'!M42)</f>
        <v/>
      </c>
      <c r="K97" s="1192" t="str">
        <f>IF(J97="","",IF((J86+J88)&lt;50,0,(IF(J97&gt;=1,J97*H97))))</f>
        <v/>
      </c>
    </row>
    <row r="98" spans="2:12" ht="13.2" customHeight="1" thickBot="1" x14ac:dyDescent="0.3">
      <c r="B98" s="804" t="s">
        <v>1433</v>
      </c>
      <c r="C98" s="151"/>
      <c r="D98" s="1714"/>
      <c r="E98" s="805"/>
      <c r="F98" s="805"/>
      <c r="G98" s="116"/>
      <c r="H98" s="1177">
        <f>'Maximum Rates'!D16</f>
        <v>150</v>
      </c>
      <c r="I98" s="1350" t="s">
        <v>1422</v>
      </c>
      <c r="J98" s="1349" t="str">
        <f>IF('Form "E" Per Diem'!M54=0,"",'Form "E" Per Diem'!M54)</f>
        <v/>
      </c>
      <c r="K98" s="1192" t="str">
        <f>IF(J98="","",IF((J86+J88)&lt;50,0,(IF(J98&gt;=1,J98*H98))))</f>
        <v/>
      </c>
      <c r="L98" s="412">
        <f>SUM(K95:K98)</f>
        <v>0</v>
      </c>
    </row>
    <row r="99" spans="2:12" ht="18" thickBot="1" x14ac:dyDescent="0.3">
      <c r="B99" s="1179" t="s">
        <v>96</v>
      </c>
      <c r="C99" s="1180"/>
      <c r="D99" s="1180"/>
      <c r="E99" s="1180"/>
      <c r="F99" s="1180"/>
      <c r="G99" s="1180"/>
      <c r="H99" s="1180"/>
      <c r="I99" s="1180"/>
      <c r="J99" s="1180"/>
      <c r="K99" s="1181"/>
    </row>
    <row r="100" spans="2:12" ht="0.15" customHeight="1" thickBot="1" x14ac:dyDescent="0.3">
      <c r="B100" s="182"/>
      <c r="C100" s="183"/>
      <c r="D100" s="183"/>
      <c r="E100" s="183"/>
      <c r="F100" s="183"/>
      <c r="G100" s="183"/>
      <c r="H100" s="184"/>
      <c r="I100" s="185"/>
      <c r="J100" s="269"/>
      <c r="K100" s="418"/>
    </row>
    <row r="101" spans="2:12" x14ac:dyDescent="0.25">
      <c r="B101" s="108" t="s">
        <v>227</v>
      </c>
      <c r="C101" s="116"/>
      <c r="D101" s="116"/>
      <c r="E101" s="116"/>
      <c r="F101" s="116"/>
      <c r="G101" s="116"/>
      <c r="H101" s="1177">
        <f>'Maximum Rates'!C19</f>
        <v>75</v>
      </c>
      <c r="I101" s="1322" t="s">
        <v>171</v>
      </c>
      <c r="J101" s="1323"/>
      <c r="K101" s="1192" t="str">
        <f t="shared" ref="K101:K122" si="4">IF(J101&lt;1,"",J101*H101)</f>
        <v/>
      </c>
    </row>
    <row r="102" spans="2:12" x14ac:dyDescent="0.25">
      <c r="B102" s="154" t="s">
        <v>1036</v>
      </c>
      <c r="C102" s="116"/>
      <c r="D102" s="116"/>
      <c r="E102" s="116"/>
      <c r="F102" s="116"/>
      <c r="G102" s="116"/>
      <c r="H102" s="1177">
        <f>'Maximum Rates'!C20</f>
        <v>55</v>
      </c>
      <c r="I102" s="1329" t="s">
        <v>612</v>
      </c>
      <c r="J102" s="1323"/>
      <c r="K102" s="1192" t="str">
        <f t="shared" si="4"/>
        <v/>
      </c>
    </row>
    <row r="103" spans="2:12" x14ac:dyDescent="0.25">
      <c r="B103" s="108" t="s">
        <v>832</v>
      </c>
      <c r="C103" s="116"/>
      <c r="D103" s="116"/>
      <c r="E103" s="116"/>
      <c r="F103" s="116"/>
      <c r="G103" s="116"/>
      <c r="H103" s="1177">
        <f>'Maximum Rates'!C36</f>
        <v>28</v>
      </c>
      <c r="I103" s="1322" t="s">
        <v>395</v>
      </c>
      <c r="J103" s="1323"/>
      <c r="K103" s="1192" t="str">
        <f t="shared" si="4"/>
        <v/>
      </c>
    </row>
    <row r="104" spans="2:12" x14ac:dyDescent="0.25">
      <c r="B104" s="154" t="s">
        <v>1121</v>
      </c>
      <c r="C104" s="151"/>
      <c r="D104" s="151"/>
      <c r="E104" s="116"/>
      <c r="F104" s="116"/>
      <c r="G104" s="116"/>
      <c r="H104" s="1203">
        <f>Equipment!J151</f>
        <v>83</v>
      </c>
      <c r="I104" s="1329" t="s">
        <v>395</v>
      </c>
      <c r="J104" s="1323"/>
      <c r="K104" s="1192" t="str">
        <f t="shared" si="4"/>
        <v/>
      </c>
    </row>
    <row r="105" spans="2:12" x14ac:dyDescent="0.25">
      <c r="B105" s="154" t="s">
        <v>1052</v>
      </c>
      <c r="C105" s="151"/>
      <c r="D105" s="151"/>
      <c r="E105" s="116"/>
      <c r="F105" s="116"/>
      <c r="G105" s="116"/>
      <c r="H105" s="1177">
        <f>Equipment!H28</f>
        <v>66</v>
      </c>
      <c r="I105" s="1322" t="s">
        <v>395</v>
      </c>
      <c r="J105" s="1323"/>
      <c r="K105" s="1192" t="str">
        <f t="shared" si="4"/>
        <v/>
      </c>
    </row>
    <row r="106" spans="2:12" x14ac:dyDescent="0.25">
      <c r="B106" s="154" t="s">
        <v>1053</v>
      </c>
      <c r="C106" s="151"/>
      <c r="D106" s="151"/>
      <c r="E106" s="116"/>
      <c r="F106" s="116"/>
      <c r="G106" s="116"/>
      <c r="H106" s="1203">
        <f>Equipment!H28</f>
        <v>66</v>
      </c>
      <c r="I106" s="1322" t="s">
        <v>395</v>
      </c>
      <c r="J106" s="1323"/>
      <c r="K106" s="1192" t="str">
        <f t="shared" si="4"/>
        <v/>
      </c>
    </row>
    <row r="107" spans="2:12" x14ac:dyDescent="0.25">
      <c r="B107" s="108" t="s">
        <v>1410</v>
      </c>
      <c r="C107" s="716" t="s">
        <v>1411</v>
      </c>
      <c r="D107" s="186" t="s">
        <v>1411</v>
      </c>
      <c r="E107" s="116"/>
      <c r="F107" s="116"/>
      <c r="G107" s="116"/>
      <c r="H107" s="1348">
        <f>IF(C107="Encore",'Maximum Rates'!C42,IF(C107="Terracore",'Maximum Rates'!C47))</f>
        <v>12</v>
      </c>
      <c r="I107" s="1322" t="s">
        <v>613</v>
      </c>
      <c r="J107" s="1323"/>
      <c r="K107" s="1192" t="str">
        <f t="shared" si="4"/>
        <v/>
      </c>
    </row>
    <row r="108" spans="2:12" x14ac:dyDescent="0.25">
      <c r="B108" s="154" t="s">
        <v>539</v>
      </c>
      <c r="C108" s="151"/>
      <c r="D108" s="186" t="s">
        <v>1412</v>
      </c>
      <c r="E108" s="116"/>
      <c r="F108" s="116"/>
      <c r="G108" s="116"/>
      <c r="H108" s="1203">
        <f>Equipment!H77</f>
        <v>176</v>
      </c>
      <c r="I108" s="1322" t="s">
        <v>395</v>
      </c>
      <c r="J108" s="1323"/>
      <c r="K108" s="1192" t="str">
        <f t="shared" si="4"/>
        <v/>
      </c>
    </row>
    <row r="109" spans="2:12" x14ac:dyDescent="0.25">
      <c r="B109" s="108" t="s">
        <v>99</v>
      </c>
      <c r="C109" s="116"/>
      <c r="D109" s="116"/>
      <c r="E109" s="116"/>
      <c r="F109" s="116"/>
      <c r="G109" s="116"/>
      <c r="H109" s="1177">
        <f>'Maximum Rates'!C18</f>
        <v>8</v>
      </c>
      <c r="I109" s="1322" t="s">
        <v>100</v>
      </c>
      <c r="J109" s="1323"/>
      <c r="K109" s="1192" t="str">
        <f t="shared" si="4"/>
        <v/>
      </c>
    </row>
    <row r="110" spans="2:12" x14ac:dyDescent="0.25">
      <c r="B110" s="108" t="s">
        <v>541</v>
      </c>
      <c r="C110" s="116"/>
      <c r="D110" s="116"/>
      <c r="E110" s="116"/>
      <c r="F110" s="116"/>
      <c r="G110" s="116"/>
      <c r="H110" s="1177">
        <f>Equipment!H102</f>
        <v>77</v>
      </c>
      <c r="I110" s="1329" t="s">
        <v>991</v>
      </c>
      <c r="J110" s="1324"/>
      <c r="K110" s="1192" t="str">
        <f t="shared" si="4"/>
        <v/>
      </c>
    </row>
    <row r="111" spans="2:12" x14ac:dyDescent="0.25">
      <c r="B111" s="108" t="s">
        <v>543</v>
      </c>
      <c r="C111" s="116"/>
      <c r="D111" s="116"/>
      <c r="E111" s="116"/>
      <c r="F111" s="186">
        <f>SUM(K101:K118)</f>
        <v>0</v>
      </c>
      <c r="G111" s="116"/>
      <c r="H111" s="1177">
        <f>Equipment!J126</f>
        <v>66</v>
      </c>
      <c r="I111" s="1329" t="s">
        <v>612</v>
      </c>
      <c r="J111" s="1324"/>
      <c r="K111" s="1192" t="str">
        <f t="shared" si="4"/>
        <v/>
      </c>
    </row>
    <row r="112" spans="2:12" x14ac:dyDescent="0.25">
      <c r="B112" s="108" t="s">
        <v>824</v>
      </c>
      <c r="C112" s="116"/>
      <c r="D112" s="116"/>
      <c r="E112" s="116"/>
      <c r="F112" s="116"/>
      <c r="G112" s="116"/>
      <c r="H112" s="1177">
        <f>Equipment!J102</f>
        <v>160</v>
      </c>
      <c r="I112" s="1329" t="s">
        <v>395</v>
      </c>
      <c r="J112" s="1324"/>
      <c r="K112" s="1192" t="str">
        <f t="shared" si="4"/>
        <v/>
      </c>
    </row>
    <row r="113" spans="2:11" x14ac:dyDescent="0.25">
      <c r="B113" s="108" t="s">
        <v>696</v>
      </c>
      <c r="C113" s="116"/>
      <c r="D113" s="116"/>
      <c r="E113" s="116"/>
      <c r="F113" s="116"/>
      <c r="G113" s="116"/>
      <c r="H113" s="1177">
        <f>Equipment!H126</f>
        <v>83</v>
      </c>
      <c r="I113" s="1322" t="s">
        <v>395</v>
      </c>
      <c r="J113" s="1324"/>
      <c r="K113" s="1192" t="str">
        <f t="shared" si="4"/>
        <v/>
      </c>
    </row>
    <row r="114" spans="2:11" x14ac:dyDescent="0.25">
      <c r="B114" s="108" t="s">
        <v>540</v>
      </c>
      <c r="C114" s="116"/>
      <c r="D114" s="116"/>
      <c r="E114" s="116"/>
      <c r="F114" s="116"/>
      <c r="G114" s="116"/>
      <c r="H114" s="1177">
        <f>Equipment!J77</f>
        <v>77</v>
      </c>
      <c r="I114" s="1329" t="s">
        <v>612</v>
      </c>
      <c r="J114" s="1324"/>
      <c r="K114" s="1192" t="str">
        <f t="shared" si="4"/>
        <v/>
      </c>
    </row>
    <row r="115" spans="2:11" x14ac:dyDescent="0.25">
      <c r="B115" s="108" t="s">
        <v>538</v>
      </c>
      <c r="C115" s="116"/>
      <c r="D115" s="116"/>
      <c r="E115" s="116"/>
      <c r="F115" s="116"/>
      <c r="G115" s="116"/>
      <c r="H115" s="1177">
        <f>Equipment!J53</f>
        <v>182</v>
      </c>
      <c r="I115" s="1329" t="s">
        <v>612</v>
      </c>
      <c r="J115" s="1324"/>
      <c r="K115" s="1192" t="str">
        <f t="shared" si="4"/>
        <v/>
      </c>
    </row>
    <row r="116" spans="2:11" x14ac:dyDescent="0.25">
      <c r="B116" s="108" t="s">
        <v>533</v>
      </c>
      <c r="C116" s="116"/>
      <c r="D116" s="116"/>
      <c r="E116" s="116"/>
      <c r="F116" s="116"/>
      <c r="G116" s="116"/>
      <c r="H116" s="1177">
        <f>Equipment!H53</f>
        <v>72</v>
      </c>
      <c r="I116" s="1329" t="s">
        <v>612</v>
      </c>
      <c r="J116" s="1324"/>
      <c r="K116" s="1192" t="str">
        <f t="shared" si="4"/>
        <v/>
      </c>
    </row>
    <row r="117" spans="2:11" x14ac:dyDescent="0.25">
      <c r="B117" s="108" t="s">
        <v>537</v>
      </c>
      <c r="C117" s="116"/>
      <c r="D117" s="116"/>
      <c r="E117" s="116"/>
      <c r="F117" s="116"/>
      <c r="G117" s="116"/>
      <c r="H117" s="1177">
        <f>Equipment!J28</f>
        <v>121</v>
      </c>
      <c r="I117" s="1322" t="s">
        <v>612</v>
      </c>
      <c r="J117" s="1327"/>
      <c r="K117" s="1192" t="str">
        <f t="shared" si="4"/>
        <v/>
      </c>
    </row>
    <row r="118" spans="2:11" ht="13.8" thickBot="1" x14ac:dyDescent="0.3">
      <c r="B118" s="128" t="s">
        <v>699</v>
      </c>
      <c r="C118" s="118"/>
      <c r="D118" s="118"/>
      <c r="E118" s="118"/>
      <c r="F118" s="118"/>
      <c r="G118" s="118"/>
      <c r="H118" s="1204">
        <f>Equipment!H151</f>
        <v>55</v>
      </c>
      <c r="I118" s="1351" t="s">
        <v>395</v>
      </c>
      <c r="J118" s="1325"/>
      <c r="K118" s="1193" t="str">
        <f t="shared" si="4"/>
        <v/>
      </c>
    </row>
    <row r="119" spans="2:11" x14ac:dyDescent="0.25">
      <c r="B119" s="108"/>
      <c r="C119" s="116"/>
      <c r="D119" s="116"/>
      <c r="E119" s="116"/>
      <c r="F119" s="116"/>
      <c r="G119" s="116"/>
      <c r="H119" s="1177"/>
      <c r="I119" s="1322"/>
      <c r="J119" s="1352"/>
      <c r="K119" s="1192"/>
    </row>
    <row r="120" spans="2:11" x14ac:dyDescent="0.25">
      <c r="B120" s="108" t="s">
        <v>610</v>
      </c>
      <c r="C120" s="116"/>
      <c r="D120" s="116"/>
      <c r="E120" s="116"/>
      <c r="F120" s="116"/>
      <c r="G120" s="116"/>
      <c r="H120" s="1177">
        <f>'Maximum Rates'!D53</f>
        <v>85</v>
      </c>
      <c r="I120" s="1329" t="s">
        <v>612</v>
      </c>
      <c r="J120" s="1324"/>
      <c r="K120" s="1192" t="str">
        <f t="shared" si="4"/>
        <v/>
      </c>
    </row>
    <row r="121" spans="2:11" x14ac:dyDescent="0.25">
      <c r="B121" s="108" t="s">
        <v>611</v>
      </c>
      <c r="C121" s="116"/>
      <c r="D121" s="116"/>
      <c r="E121" s="116"/>
      <c r="F121" s="116"/>
      <c r="G121" s="116"/>
      <c r="H121" s="1177">
        <f>'Maximum Rates'!D54</f>
        <v>50</v>
      </c>
      <c r="I121" s="1329" t="s">
        <v>228</v>
      </c>
      <c r="J121" s="1324"/>
      <c r="K121" s="1192" t="str">
        <f t="shared" si="4"/>
        <v/>
      </c>
    </row>
    <row r="122" spans="2:11" ht="13.8" thickBot="1" x14ac:dyDescent="0.3">
      <c r="B122" s="108" t="s">
        <v>480</v>
      </c>
      <c r="C122" s="116"/>
      <c r="D122" s="116"/>
      <c r="E122" s="116"/>
      <c r="F122" s="114">
        <f>SUM(K120:K122)</f>
        <v>0</v>
      </c>
      <c r="G122" s="116"/>
      <c r="H122" s="1315"/>
      <c r="I122" s="1322"/>
      <c r="J122" s="1327"/>
      <c r="K122" s="1192" t="str">
        <f t="shared" si="4"/>
        <v/>
      </c>
    </row>
    <row r="123" spans="2:11" ht="16.95" customHeight="1" thickBot="1" x14ac:dyDescent="0.35">
      <c r="B123" s="1286" t="s">
        <v>417</v>
      </c>
      <c r="C123" s="1284"/>
      <c r="D123" s="1284"/>
      <c r="E123" s="1284"/>
      <c r="F123" s="1284"/>
      <c r="G123" s="1284"/>
      <c r="H123" s="1284"/>
      <c r="I123" s="1284"/>
      <c r="J123" s="1284"/>
      <c r="K123" s="1285"/>
    </row>
    <row r="124" spans="2:11" ht="3.6" customHeight="1" x14ac:dyDescent="0.3">
      <c r="B124" s="573"/>
      <c r="C124" s="574"/>
      <c r="D124" s="574"/>
      <c r="E124" s="574"/>
      <c r="F124" s="574"/>
      <c r="G124" s="574"/>
      <c r="H124" s="574"/>
      <c r="I124" s="1283"/>
      <c r="J124" s="302"/>
      <c r="K124" s="1201"/>
    </row>
    <row r="125" spans="2:11" ht="19.95" customHeight="1" x14ac:dyDescent="0.3">
      <c r="B125" s="187"/>
      <c r="C125" s="188"/>
      <c r="D125" s="2322" t="s">
        <v>926</v>
      </c>
      <c r="E125" s="188"/>
      <c r="F125" s="188"/>
      <c r="G125" s="188"/>
      <c r="H125" s="188"/>
      <c r="I125" s="2320" t="s">
        <v>959</v>
      </c>
      <c r="J125" s="2320" t="s">
        <v>966</v>
      </c>
      <c r="K125" s="1202"/>
    </row>
    <row r="126" spans="2:11" ht="13.95" customHeight="1" x14ac:dyDescent="0.25">
      <c r="B126" s="287">
        <v>0</v>
      </c>
      <c r="C126" s="116"/>
      <c r="D126" s="2323"/>
      <c r="E126" s="119"/>
      <c r="F126" s="119"/>
      <c r="G126" s="120"/>
      <c r="H126" s="113"/>
      <c r="I126" s="2321"/>
      <c r="J126" s="2321"/>
      <c r="K126" s="1192"/>
    </row>
    <row r="127" spans="2:11" x14ac:dyDescent="0.25">
      <c r="B127" s="2310" t="s">
        <v>230</v>
      </c>
      <c r="C127" s="2311"/>
      <c r="D127" s="1318">
        <v>8260</v>
      </c>
      <c r="E127" s="116"/>
      <c r="F127" s="1176">
        <f>IF(D127=8021,'Maximum Rates'!$K$8,IF(D127=8260,'Maximum Rates'!$K$8,IF(D127=602,'Maximum Rates'!$K$8)))</f>
        <v>65</v>
      </c>
      <c r="G127" s="116" t="s">
        <v>613</v>
      </c>
      <c r="H127" s="113"/>
      <c r="I127" s="1316"/>
      <c r="J127" s="1310"/>
      <c r="K127" s="1192" t="str">
        <f>IF(J127&lt;1,"",IF(I127="",(J127*F127),(J127*F127)*(1+I127)))</f>
        <v/>
      </c>
    </row>
    <row r="128" spans="2:11" x14ac:dyDescent="0.25">
      <c r="B128" s="2310" t="s">
        <v>231</v>
      </c>
      <c r="C128" s="2311"/>
      <c r="D128" s="1318">
        <v>8260</v>
      </c>
      <c r="E128" s="116"/>
      <c r="F128" s="1176">
        <f>IF(D128=8021,'Maximum Rates'!$L$8, IF(D128=8260,'Maximum Rates'!$L$8))</f>
        <v>65</v>
      </c>
      <c r="G128" s="116" t="s">
        <v>613</v>
      </c>
      <c r="H128" s="113"/>
      <c r="I128" s="1316"/>
      <c r="J128" s="1309"/>
      <c r="K128" s="1192" t="str">
        <f t="shared" ref="K128:K156" si="5">IF(J128&lt;1,"",IF(I128="",(J128*F128),(J128*F128)*(1+I128)))</f>
        <v/>
      </c>
    </row>
    <row r="129" spans="2:11" x14ac:dyDescent="0.25">
      <c r="B129" s="2310" t="s">
        <v>232</v>
      </c>
      <c r="C129" s="2311"/>
      <c r="D129" s="1318">
        <v>8270</v>
      </c>
      <c r="E129" s="1564"/>
      <c r="F129" s="1176">
        <f>IF(D129=610,'Maximum Rates'!$K$10, IF(D129=8270,'Maximum Rates'!$K$11, IF(D129=8310,'Maximum Rates'!$K$11, IF(D129=8100,'Maximum Rates'!#REF!, IF(D129=625,'Maximum Rates'!#REF!)))))</f>
        <v>130</v>
      </c>
      <c r="G129" s="116" t="s">
        <v>613</v>
      </c>
      <c r="H129" s="113"/>
      <c r="I129" s="1316"/>
      <c r="J129" s="1310"/>
      <c r="K129" s="1192" t="str">
        <f t="shared" si="5"/>
        <v/>
      </c>
    </row>
    <row r="130" spans="2:11" x14ac:dyDescent="0.25">
      <c r="B130" s="2310" t="s">
        <v>233</v>
      </c>
      <c r="C130" s="2311"/>
      <c r="D130" s="1318">
        <v>8270</v>
      </c>
      <c r="E130" s="675">
        <v>0.05</v>
      </c>
      <c r="F130" s="1176">
        <f>IF(D130=8100,'Maximum Rates'!#REF!, IF(D130=8270,'Maximum Rates'!$L$11, IF(D130=8310,'Maximum Rates'!$L$11)))</f>
        <v>130</v>
      </c>
      <c r="G130" s="116" t="s">
        <v>613</v>
      </c>
      <c r="H130" s="113"/>
      <c r="I130" s="1316"/>
      <c r="J130" s="1310"/>
      <c r="K130" s="1192" t="str">
        <f t="shared" si="5"/>
        <v/>
      </c>
    </row>
    <row r="131" spans="2:11" x14ac:dyDescent="0.25">
      <c r="B131" s="2310" t="s">
        <v>234</v>
      </c>
      <c r="C131" s="2312"/>
      <c r="D131" s="1318">
        <v>6020</v>
      </c>
      <c r="E131" s="675">
        <v>0.1</v>
      </c>
      <c r="F131" s="1176">
        <f>IF(D131=239.2,'Maximum Rates'!$K$25, IF(D131=6020,'Maximum Rates'!$K$26, IF(D131=7421,'Maximum Rates'!$K$25)))</f>
        <v>15</v>
      </c>
      <c r="G131" s="116" t="s">
        <v>613</v>
      </c>
      <c r="H131" s="113"/>
      <c r="I131" s="1316"/>
      <c r="J131" s="1310"/>
      <c r="K131" s="1192" t="str">
        <f t="shared" si="5"/>
        <v/>
      </c>
    </row>
    <row r="132" spans="2:11" x14ac:dyDescent="0.25">
      <c r="B132" s="2310" t="s">
        <v>235</v>
      </c>
      <c r="C132" s="2311"/>
      <c r="D132" s="1318">
        <v>6020</v>
      </c>
      <c r="E132" s="1565"/>
      <c r="F132" s="1176">
        <f>IF(D132=239.2,'Maximum Rates'!$L$25, IF(D132=6020,'Maximum Rates'!$L$26, IF(D132=7421,'Maximum Rates'!$L$25, IF(D132=6010,'Maximum Rates'!$L$26))))</f>
        <v>15</v>
      </c>
      <c r="G132" s="116" t="s">
        <v>613</v>
      </c>
      <c r="H132" s="113"/>
      <c r="I132" s="1316"/>
      <c r="J132" s="1310"/>
      <c r="K132" s="1192" t="str">
        <f t="shared" si="5"/>
        <v/>
      </c>
    </row>
    <row r="133" spans="2:11" x14ac:dyDescent="0.25">
      <c r="B133" s="2310" t="s">
        <v>752</v>
      </c>
      <c r="C133" s="2311"/>
      <c r="D133" s="1318" t="s">
        <v>961</v>
      </c>
      <c r="E133" s="1566"/>
      <c r="F133" s="1176">
        <f>IF(D133=418.1,'Maximum Rates'!$L$29,IF(D133=5520,'Maximum Rates'!$L$28,IF(D133=9071,'Maximum Rates'!$L$29,IF(D133="8015 GRO",'Maximum Rates'!$L$30,IF(D133="8015 DRO",'Maximum Rates'!$L$31)))))</f>
        <v>80</v>
      </c>
      <c r="G133" s="116" t="s">
        <v>613</v>
      </c>
      <c r="H133" s="113"/>
      <c r="I133" s="1316"/>
      <c r="J133" s="1310"/>
      <c r="K133" s="1192" t="str">
        <f t="shared" si="5"/>
        <v/>
      </c>
    </row>
    <row r="134" spans="2:11" x14ac:dyDescent="0.25">
      <c r="B134" s="2310" t="s">
        <v>282</v>
      </c>
      <c r="C134" s="2311"/>
      <c r="D134" s="1318">
        <v>525.1</v>
      </c>
      <c r="E134" s="116"/>
      <c r="F134" s="1176">
        <f>IF(D134=525.1,'Maximum Rates'!$K$12)</f>
        <v>275</v>
      </c>
      <c r="G134" s="116" t="s">
        <v>613</v>
      </c>
      <c r="H134" s="113"/>
      <c r="I134" s="1316"/>
      <c r="J134" s="1310"/>
      <c r="K134" s="1192" t="str">
        <f t="shared" si="5"/>
        <v/>
      </c>
    </row>
    <row r="135" spans="2:11" x14ac:dyDescent="0.25">
      <c r="B135" s="2310" t="s">
        <v>281</v>
      </c>
      <c r="C135" s="2311"/>
      <c r="D135" s="1318">
        <v>8260</v>
      </c>
      <c r="E135" s="116"/>
      <c r="F135" s="1176">
        <f>IF(D135=8260,'Maximum Rates'!$K$15,IF(D135=524.2,'Maximum Rates'!$K$14,))</f>
        <v>65</v>
      </c>
      <c r="G135" s="116" t="s">
        <v>613</v>
      </c>
      <c r="H135" s="113"/>
      <c r="I135" s="1316"/>
      <c r="J135" s="1310"/>
      <c r="K135" s="1192" t="str">
        <f t="shared" si="5"/>
        <v/>
      </c>
    </row>
    <row r="136" spans="2:11" x14ac:dyDescent="0.25">
      <c r="B136" s="2310" t="s">
        <v>692</v>
      </c>
      <c r="C136" s="2311"/>
      <c r="D136" s="1318">
        <v>8011</v>
      </c>
      <c r="E136" s="116"/>
      <c r="F136" s="1176">
        <f>IF(D136=8011,'Maximum Rates'!$K$19, IF(D136=504.1,'Maximum Rates'!$K$17,IF(D136=524.2,'Maximum Rates'!$K$22)))</f>
        <v>65</v>
      </c>
      <c r="G136" s="116" t="s">
        <v>613</v>
      </c>
      <c r="H136" s="113"/>
      <c r="I136" s="1316"/>
      <c r="J136" s="1310"/>
      <c r="K136" s="1192" t="str">
        <f t="shared" si="5"/>
        <v/>
      </c>
    </row>
    <row r="137" spans="2:11" x14ac:dyDescent="0.25">
      <c r="B137" s="108" t="s">
        <v>693</v>
      </c>
      <c r="C137" s="116"/>
      <c r="D137" s="1318">
        <v>8260</v>
      </c>
      <c r="E137" s="116"/>
      <c r="F137" s="1176">
        <f>IF(D137=8260,'Maximum Rates'!$K$8,IF(D137=524.2,'Maximum Rates'!$K$14,IF(D137=504.1,'Maximum Rates'!$K$17)))</f>
        <v>65</v>
      </c>
      <c r="G137" s="116" t="s">
        <v>613</v>
      </c>
      <c r="H137" s="113"/>
      <c r="I137" s="1316"/>
      <c r="J137" s="1310"/>
      <c r="K137" s="1192" t="str">
        <f t="shared" si="5"/>
        <v/>
      </c>
    </row>
    <row r="138" spans="2:11" x14ac:dyDescent="0.25">
      <c r="B138" s="108" t="s">
        <v>77</v>
      </c>
      <c r="C138" s="116"/>
      <c r="D138" s="1318">
        <v>8260</v>
      </c>
      <c r="E138" s="116"/>
      <c r="F138" s="1176">
        <f>IF(D138=8260,'Maximum Rates'!$K$8,IF(D138="8015D",'Maximum Rates'!$K$44))</f>
        <v>65</v>
      </c>
      <c r="G138" s="116" t="s">
        <v>613</v>
      </c>
      <c r="H138" s="113"/>
      <c r="I138" s="1316"/>
      <c r="J138" s="1310"/>
      <c r="K138" s="1192" t="str">
        <f t="shared" si="5"/>
        <v/>
      </c>
    </row>
    <row r="139" spans="2:11" x14ac:dyDescent="0.25">
      <c r="B139" s="108" t="s">
        <v>78</v>
      </c>
      <c r="C139" s="116"/>
      <c r="D139" s="1318">
        <v>8260</v>
      </c>
      <c r="E139" s="116"/>
      <c r="F139" s="1176">
        <f>IF(D139=8260,'Maximum Rates'!$K$8, IF(D139="8015D",'Maximum Rates'!$K$44))</f>
        <v>65</v>
      </c>
      <c r="G139" s="116" t="s">
        <v>613</v>
      </c>
      <c r="H139" s="113"/>
      <c r="I139" s="1316"/>
      <c r="J139" s="1310"/>
      <c r="K139" s="1192" t="str">
        <f t="shared" si="5"/>
        <v/>
      </c>
    </row>
    <row r="140" spans="2:11" x14ac:dyDescent="0.25">
      <c r="B140" s="2310" t="s">
        <v>342</v>
      </c>
      <c r="C140" s="2312"/>
      <c r="D140" s="116"/>
      <c r="E140" s="116"/>
      <c r="F140" s="1176">
        <f>'Maximum Rates'!$K$33</f>
        <v>50</v>
      </c>
      <c r="G140" s="116" t="s">
        <v>613</v>
      </c>
      <c r="H140" s="113"/>
      <c r="I140" s="1316"/>
      <c r="J140" s="1310"/>
      <c r="K140" s="1192" t="str">
        <f t="shared" si="5"/>
        <v/>
      </c>
    </row>
    <row r="141" spans="2:11" x14ac:dyDescent="0.25">
      <c r="B141" s="2310" t="s">
        <v>963</v>
      </c>
      <c r="C141" s="2312"/>
      <c r="D141" s="116"/>
      <c r="E141" s="116"/>
      <c r="F141" s="1177">
        <f>'Maximum Rates'!$K$42</f>
        <v>100</v>
      </c>
      <c r="G141" s="116" t="s">
        <v>613</v>
      </c>
      <c r="H141" s="113"/>
      <c r="I141" s="1316"/>
      <c r="J141" s="1310"/>
      <c r="K141" s="1192" t="str">
        <f t="shared" si="5"/>
        <v/>
      </c>
    </row>
    <row r="142" spans="2:11" x14ac:dyDescent="0.25">
      <c r="B142" s="2310" t="s">
        <v>337</v>
      </c>
      <c r="C142" s="2312"/>
      <c r="D142" s="116"/>
      <c r="E142" s="120"/>
      <c r="F142" s="1177">
        <f>'Maximum Rates'!$K$34</f>
        <v>20</v>
      </c>
      <c r="G142" s="116" t="s">
        <v>613</v>
      </c>
      <c r="H142" s="113"/>
      <c r="I142" s="1316"/>
      <c r="J142" s="1310"/>
      <c r="K142" s="1192" t="str">
        <f t="shared" si="5"/>
        <v/>
      </c>
    </row>
    <row r="143" spans="2:11" x14ac:dyDescent="0.25">
      <c r="B143" s="2310" t="s">
        <v>335</v>
      </c>
      <c r="C143" s="2312"/>
      <c r="D143" s="116"/>
      <c r="E143" s="116"/>
      <c r="F143" s="1177">
        <f>'Maximum Rates'!$K$35</f>
        <v>40</v>
      </c>
      <c r="G143" s="116" t="s">
        <v>613</v>
      </c>
      <c r="H143" s="113"/>
      <c r="I143" s="1316"/>
      <c r="J143" s="1310"/>
      <c r="K143" s="1192" t="str">
        <f t="shared" si="5"/>
        <v/>
      </c>
    </row>
    <row r="144" spans="2:11" x14ac:dyDescent="0.25">
      <c r="B144" s="333" t="s">
        <v>848</v>
      </c>
      <c r="C144" s="334"/>
      <c r="D144" s="116"/>
      <c r="E144" s="151"/>
      <c r="F144" s="1177">
        <f>'Maximum Rates'!$K$38</f>
        <v>20</v>
      </c>
      <c r="G144" s="116" t="s">
        <v>613</v>
      </c>
      <c r="H144" s="113"/>
      <c r="I144" s="1316"/>
      <c r="J144" s="1310"/>
      <c r="K144" s="1192" t="str">
        <f t="shared" ref="K144:K149" si="6">IF(J144&lt;1,"",IF(I144="",(J144*F144),(J144*F144)*(1+I144)))</f>
        <v/>
      </c>
    </row>
    <row r="145" spans="2:12" x14ac:dyDescent="0.25">
      <c r="B145" s="333" t="s">
        <v>336</v>
      </c>
      <c r="C145" s="334"/>
      <c r="D145" s="116"/>
      <c r="E145" s="116"/>
      <c r="F145" s="1177">
        <f>'Maximum Rates'!$K$37</f>
        <v>15</v>
      </c>
      <c r="G145" s="116" t="s">
        <v>613</v>
      </c>
      <c r="H145" s="113"/>
      <c r="I145" s="1316"/>
      <c r="J145" s="1311"/>
      <c r="K145" s="1192" t="str">
        <f t="shared" si="6"/>
        <v/>
      </c>
    </row>
    <row r="146" spans="2:12" x14ac:dyDescent="0.25">
      <c r="B146" s="333" t="s">
        <v>338</v>
      </c>
      <c r="C146" s="334"/>
      <c r="D146" s="116"/>
      <c r="E146" s="116"/>
      <c r="F146" s="1177">
        <f>'Maximum Rates'!$K$39</f>
        <v>20</v>
      </c>
      <c r="G146" s="116" t="s">
        <v>613</v>
      </c>
      <c r="H146" s="113"/>
      <c r="I146" s="1316"/>
      <c r="J146" s="1311"/>
      <c r="K146" s="1192" t="str">
        <f t="shared" si="6"/>
        <v/>
      </c>
    </row>
    <row r="147" spans="2:12" x14ac:dyDescent="0.25">
      <c r="B147" s="333" t="s">
        <v>339</v>
      </c>
      <c r="C147" s="334"/>
      <c r="D147" s="116"/>
      <c r="E147" s="116"/>
      <c r="F147" s="1177">
        <f>'Maximum Rates'!$K$40</f>
        <v>20</v>
      </c>
      <c r="G147" s="116" t="s">
        <v>613</v>
      </c>
      <c r="H147" s="113"/>
      <c r="I147" s="1316"/>
      <c r="J147" s="1310"/>
      <c r="K147" s="1192" t="str">
        <f t="shared" si="6"/>
        <v/>
      </c>
      <c r="L147" s="1493"/>
    </row>
    <row r="148" spans="2:12" x14ac:dyDescent="0.25">
      <c r="B148" s="2310" t="s">
        <v>340</v>
      </c>
      <c r="C148" s="2312"/>
      <c r="D148" s="116"/>
      <c r="E148" s="116"/>
      <c r="F148" s="1177">
        <f>'Maximum Rates'!$K$41</f>
        <v>20</v>
      </c>
      <c r="G148" s="116" t="s">
        <v>613</v>
      </c>
      <c r="H148" s="113"/>
      <c r="I148" s="1316"/>
      <c r="J148" s="1310"/>
      <c r="K148" s="1192" t="str">
        <f t="shared" si="6"/>
        <v/>
      </c>
      <c r="L148" s="1493"/>
    </row>
    <row r="149" spans="2:12" x14ac:dyDescent="0.25">
      <c r="B149" s="804" t="s">
        <v>1042</v>
      </c>
      <c r="C149" s="151"/>
      <c r="D149" s="151"/>
      <c r="E149" s="116"/>
      <c r="F149" s="1177">
        <f>'Maximum Rates'!$K$36</f>
        <v>40</v>
      </c>
      <c r="G149" s="116" t="s">
        <v>613</v>
      </c>
      <c r="H149" s="113"/>
      <c r="I149" s="1316"/>
      <c r="J149" s="1310"/>
      <c r="K149" s="1192" t="str">
        <f t="shared" si="6"/>
        <v/>
      </c>
    </row>
    <row r="150" spans="2:12" x14ac:dyDescent="0.25">
      <c r="B150" s="804" t="s">
        <v>1041</v>
      </c>
      <c r="C150" s="151"/>
      <c r="D150" s="151"/>
      <c r="E150" s="116"/>
      <c r="F150" s="1321"/>
      <c r="G150" s="116" t="s">
        <v>613</v>
      </c>
      <c r="H150" s="113"/>
      <c r="I150" s="1316"/>
      <c r="J150" s="1310"/>
      <c r="K150" s="1192" t="str">
        <f t="shared" si="5"/>
        <v/>
      </c>
    </row>
    <row r="151" spans="2:12" x14ac:dyDescent="0.25">
      <c r="B151" s="333" t="s">
        <v>837</v>
      </c>
      <c r="C151" s="334"/>
      <c r="D151" s="116"/>
      <c r="E151" s="116"/>
      <c r="F151" s="1321"/>
      <c r="G151" s="116" t="s">
        <v>613</v>
      </c>
      <c r="H151" s="113"/>
      <c r="I151" s="1317"/>
      <c r="J151" s="1311"/>
      <c r="K151" s="1192" t="str">
        <f t="shared" si="5"/>
        <v/>
      </c>
    </row>
    <row r="152" spans="2:12" x14ac:dyDescent="0.25">
      <c r="B152" s="333" t="s">
        <v>834</v>
      </c>
      <c r="C152" s="334"/>
      <c r="D152" s="116"/>
      <c r="E152" s="116"/>
      <c r="F152" s="1321"/>
      <c r="G152" s="116" t="s">
        <v>613</v>
      </c>
      <c r="H152" s="113"/>
      <c r="I152" s="1317"/>
      <c r="J152" s="1311"/>
      <c r="K152" s="1192" t="str">
        <f t="shared" si="5"/>
        <v/>
      </c>
    </row>
    <row r="153" spans="2:12" x14ac:dyDescent="0.25">
      <c r="B153" s="333" t="s">
        <v>836</v>
      </c>
      <c r="C153" s="334"/>
      <c r="D153" s="116"/>
      <c r="E153" s="116"/>
      <c r="F153" s="1321"/>
      <c r="G153" s="116" t="s">
        <v>613</v>
      </c>
      <c r="H153" s="113"/>
      <c r="I153" s="1317"/>
      <c r="J153" s="1311"/>
      <c r="K153" s="1192" t="str">
        <f t="shared" si="5"/>
        <v/>
      </c>
    </row>
    <row r="154" spans="2:12" x14ac:dyDescent="0.25">
      <c r="B154" s="333" t="s">
        <v>833</v>
      </c>
      <c r="C154" s="1319"/>
      <c r="D154" s="1320"/>
      <c r="E154" s="116"/>
      <c r="F154" s="1321"/>
      <c r="G154" s="116" t="s">
        <v>613</v>
      </c>
      <c r="H154" s="113"/>
      <c r="I154" s="1317"/>
      <c r="J154" s="1311"/>
      <c r="K154" s="1192" t="str">
        <f t="shared" si="5"/>
        <v/>
      </c>
    </row>
    <row r="155" spans="2:12" x14ac:dyDescent="0.25">
      <c r="B155" s="108" t="s">
        <v>667</v>
      </c>
      <c r="C155" s="1319"/>
      <c r="D155" s="1320"/>
      <c r="E155" s="116"/>
      <c r="F155" s="1321"/>
      <c r="G155" s="2312" t="s">
        <v>613</v>
      </c>
      <c r="H155" s="2311"/>
      <c r="I155" s="1317"/>
      <c r="J155" s="1311"/>
      <c r="K155" s="1192" t="str">
        <f t="shared" si="5"/>
        <v/>
      </c>
    </row>
    <row r="156" spans="2:12" x14ac:dyDescent="0.25">
      <c r="B156" s="333" t="s">
        <v>833</v>
      </c>
      <c r="C156" s="1319"/>
      <c r="D156" s="1320"/>
      <c r="E156" s="192"/>
      <c r="F156" s="1321"/>
      <c r="G156" s="2325" t="s">
        <v>613</v>
      </c>
      <c r="H156" s="2311"/>
      <c r="I156" s="1316"/>
      <c r="J156" s="1310"/>
      <c r="K156" s="1192" t="str">
        <f t="shared" si="5"/>
        <v/>
      </c>
    </row>
    <row r="157" spans="2:12" hidden="1" x14ac:dyDescent="0.25">
      <c r="B157" s="572">
        <v>8</v>
      </c>
      <c r="C157" s="116"/>
      <c r="D157" s="282"/>
      <c r="E157" s="116"/>
      <c r="F157" s="116"/>
      <c r="G157" s="116"/>
      <c r="H157" s="113"/>
      <c r="I157" s="116"/>
      <c r="J157" s="144"/>
      <c r="K157" s="1200"/>
    </row>
    <row r="158" spans="2:12" hidden="1" x14ac:dyDescent="0.25">
      <c r="B158" s="122" t="s">
        <v>236</v>
      </c>
      <c r="C158" s="119" t="s">
        <v>237</v>
      </c>
      <c r="D158" s="119" t="s">
        <v>238</v>
      </c>
      <c r="E158" s="119" t="s">
        <v>239</v>
      </c>
      <c r="F158" s="282"/>
      <c r="G158" s="282" t="s">
        <v>240</v>
      </c>
      <c r="H158" s="123" t="s">
        <v>241</v>
      </c>
      <c r="I158" s="282"/>
      <c r="J158" s="144"/>
      <c r="K158" s="1200"/>
    </row>
    <row r="159" spans="2:12" hidden="1" x14ac:dyDescent="0.25">
      <c r="B159" s="572">
        <v>8021</v>
      </c>
      <c r="C159" s="282"/>
      <c r="D159" s="282"/>
      <c r="E159" s="282">
        <v>8270</v>
      </c>
      <c r="F159" s="282"/>
      <c r="G159" s="282">
        <v>6020</v>
      </c>
      <c r="H159" s="282"/>
      <c r="I159" s="282">
        <v>525.1</v>
      </c>
      <c r="J159" s="144">
        <v>8021</v>
      </c>
      <c r="K159" s="1200"/>
    </row>
    <row r="160" spans="2:12" hidden="1" x14ac:dyDescent="0.25">
      <c r="B160" s="572">
        <v>8260</v>
      </c>
      <c r="C160" s="282">
        <v>8021</v>
      </c>
      <c r="D160" s="282"/>
      <c r="E160" s="282"/>
      <c r="F160" s="282">
        <v>6020</v>
      </c>
      <c r="G160" s="151"/>
      <c r="H160" s="282"/>
      <c r="I160" s="116"/>
      <c r="J160" s="144">
        <v>8260</v>
      </c>
      <c r="K160" s="1200"/>
    </row>
    <row r="161" spans="2:12" hidden="1" x14ac:dyDescent="0.25">
      <c r="B161" s="572">
        <v>602</v>
      </c>
      <c r="C161" s="282">
        <v>8260</v>
      </c>
      <c r="D161" s="282">
        <v>8270</v>
      </c>
      <c r="E161" s="151"/>
      <c r="F161" s="282"/>
      <c r="G161" s="282"/>
      <c r="H161" s="119">
        <v>9071</v>
      </c>
      <c r="I161" s="282" t="s">
        <v>753</v>
      </c>
      <c r="J161" s="144">
        <v>502.2</v>
      </c>
      <c r="K161" s="1200"/>
    </row>
    <row r="162" spans="2:12" hidden="1" x14ac:dyDescent="0.25">
      <c r="B162" s="572"/>
      <c r="C162" s="282"/>
      <c r="D162" s="282">
        <v>8260</v>
      </c>
      <c r="E162" s="282"/>
      <c r="F162" s="282"/>
      <c r="G162" s="282"/>
      <c r="H162" s="119" t="s">
        <v>961</v>
      </c>
      <c r="I162" s="282">
        <v>8011</v>
      </c>
      <c r="J162" s="144">
        <v>524.20000000000005</v>
      </c>
      <c r="K162" s="1200"/>
    </row>
    <row r="163" spans="2:12" hidden="1" x14ac:dyDescent="0.25">
      <c r="B163" s="122"/>
      <c r="C163" s="282"/>
      <c r="D163" s="282" t="s">
        <v>694</v>
      </c>
      <c r="E163" s="282"/>
      <c r="F163" s="282"/>
      <c r="G163" s="282"/>
      <c r="H163" s="119" t="s">
        <v>962</v>
      </c>
      <c r="I163" s="282">
        <v>504.1</v>
      </c>
      <c r="J163" s="144">
        <v>8260</v>
      </c>
      <c r="K163" s="1200"/>
    </row>
    <row r="164" spans="2:12" hidden="1" x14ac:dyDescent="0.25">
      <c r="B164" s="122"/>
      <c r="C164" s="116"/>
      <c r="D164" s="116"/>
      <c r="E164" s="282"/>
      <c r="F164" s="282"/>
      <c r="G164" s="282"/>
      <c r="H164" s="153"/>
      <c r="I164" s="282">
        <v>524.20000000000005</v>
      </c>
      <c r="J164" s="144"/>
      <c r="K164" s="1200"/>
    </row>
    <row r="165" spans="2:12" ht="13.2" hidden="1" customHeight="1" x14ac:dyDescent="0.25">
      <c r="B165" s="108"/>
      <c r="C165" s="116"/>
      <c r="D165" s="116"/>
      <c r="E165" s="116"/>
      <c r="F165" s="116"/>
      <c r="G165" s="116"/>
      <c r="H165" s="113"/>
      <c r="I165" s="282">
        <v>8260</v>
      </c>
      <c r="J165" s="144"/>
      <c r="K165" s="1200"/>
    </row>
    <row r="166" spans="2:12" ht="14.4" customHeight="1" thickBot="1" x14ac:dyDescent="0.3">
      <c r="B166" s="108"/>
      <c r="C166" s="116"/>
      <c r="D166" s="116"/>
      <c r="E166" s="116"/>
      <c r="F166" s="116"/>
      <c r="G166" s="116"/>
      <c r="H166" s="113"/>
      <c r="I166" s="282"/>
      <c r="J166" s="144"/>
      <c r="K166" s="1200"/>
    </row>
    <row r="167" spans="2:12" ht="16.2" thickBot="1" x14ac:dyDescent="0.35">
      <c r="B167" s="155"/>
      <c r="C167" s="157"/>
      <c r="D167" s="157"/>
      <c r="E167" s="157"/>
      <c r="F167" s="296" t="s">
        <v>862</v>
      </c>
      <c r="G167" s="293"/>
      <c r="H167" s="294"/>
      <c r="I167" s="293"/>
      <c r="J167" s="295"/>
      <c r="K167" s="1521">
        <f>SUM(K10:K166)</f>
        <v>0</v>
      </c>
      <c r="L167" s="412">
        <f>SUM(K10:K166)</f>
        <v>0</v>
      </c>
    </row>
  </sheetData>
  <sheetProtection algorithmName="SHA-512" hashValue="1MHUudeOSV5yHv676IkXsWhzfFmcJUEirWn/7AS8q53wINHEr9PBuQNdzEwiyJ+TWy2LTlHaLKeOiKSN5EGP/Q==" saltValue="NMqnjPUQRHlf3SevojvfnQ==" spinCount="100000" sheet="1" objects="1" scenarios="1" selectLockedCells="1"/>
  <protectedRanges>
    <protectedRange sqref="J10:J15 J18:J21 J23:J26 J30:J34 J37:J41 J43:J48 J50:J81 D81:H81 J85:J88 J90:J93 J101:J118 H122 J120:J122 I127:J156 D127:D139 C154:D156 F150:F156" name="Range3"/>
    <protectedRange sqref="J10:J15 J18:J21 J23:J26 J30:J34 J37:J41 J43:J48 J50:J81 D81:H81 J85:J88 J90:J93 J101:J118 J120:J122 H122 I127:J156 F150:F156" name="Range2"/>
  </protectedRanges>
  <customSheetViews>
    <customSheetView guid="{BC429C65-53B8-4F97-88D2-74ECCD734800}" showGridLines="0" showRowCol="0" hiddenRows="1">
      <pane xSplit="1" ySplit="6" topLeftCell="B64" activePane="bottomRight" state="frozen"/>
      <selection pane="bottomRight" activeCell="J10" sqref="J10"/>
      <rowBreaks count="2" manualBreakCount="2">
        <brk id="52" min="1" max="10" man="1"/>
        <brk id="99" min="1" max="10" man="1"/>
      </rowBreaks>
      <pageMargins left="0.25" right="0.25" top="0.75" bottom="1" header="0" footer="0"/>
      <printOptions horizontalCentered="1"/>
      <pageSetup scale="99" fitToHeight="3" orientation="portrait" r:id="rId1"/>
      <headerFooter alignWithMargins="0">
        <oddHeader>&amp;RCP</oddHeader>
        <oddFooter>&amp;LADEM Form 318 07/2012</oddFooter>
      </headerFooter>
    </customSheetView>
  </customSheetViews>
  <mergeCells count="26">
    <mergeCell ref="B142:C142"/>
    <mergeCell ref="B129:C129"/>
    <mergeCell ref="G156:H156"/>
    <mergeCell ref="F86:G86"/>
    <mergeCell ref="G155:H155"/>
    <mergeCell ref="B148:C148"/>
    <mergeCell ref="B132:C132"/>
    <mergeCell ref="B130:C130"/>
    <mergeCell ref="B136:C136"/>
    <mergeCell ref="B135:C135"/>
    <mergeCell ref="B140:C140"/>
    <mergeCell ref="B143:C143"/>
    <mergeCell ref="B127:C127"/>
    <mergeCell ref="B141:C141"/>
    <mergeCell ref="B134:C134"/>
    <mergeCell ref="B128:C128"/>
    <mergeCell ref="B133:C133"/>
    <mergeCell ref="B131:C131"/>
    <mergeCell ref="B5:G5"/>
    <mergeCell ref="H5:K5"/>
    <mergeCell ref="G81:H81"/>
    <mergeCell ref="G83:H83"/>
    <mergeCell ref="I125:I126"/>
    <mergeCell ref="J125:J126"/>
    <mergeCell ref="D125:D126"/>
    <mergeCell ref="G82:H82"/>
  </mergeCells>
  <phoneticPr fontId="4" type="noConversion"/>
  <conditionalFormatting sqref="J119">
    <cfRule type="cellIs" dxfId="0" priority="1" stopIfTrue="1" operator="equal">
      <formula>0</formula>
    </cfRule>
  </conditionalFormatting>
  <dataValidations xWindow="665" yWindow="653" count="30">
    <dataValidation type="list" allowBlank="1" showInputMessage="1" showErrorMessage="1" prompt="method_x000a_" sqref="D128" xr:uid="{00000000-0002-0000-1000-000000000000}">
      <formula1>C160:C161</formula1>
    </dataValidation>
    <dataValidation type="list" showInputMessage="1" showErrorMessage="1" prompt="method_x000a_" sqref="D127" xr:uid="{00000000-0002-0000-1000-000001000000}">
      <formula1>B159:B161</formula1>
    </dataValidation>
    <dataValidation type="list" allowBlank="1" showInputMessage="1" showErrorMessage="1" sqref="D132" xr:uid="{00000000-0002-0000-1000-000002000000}">
      <formula1>F160</formula1>
    </dataValidation>
    <dataValidation type="list" allowBlank="1" showInputMessage="1" showErrorMessage="1" sqref="D134" xr:uid="{00000000-0002-0000-1000-000003000000}">
      <formula1>I159</formula1>
    </dataValidation>
    <dataValidation type="list" allowBlank="1" showInputMessage="1" showErrorMessage="1" sqref="D136:D137" xr:uid="{00000000-0002-0000-1000-000004000000}">
      <formula1>I162:I164</formula1>
    </dataValidation>
    <dataValidation type="list" allowBlank="1" showInputMessage="1" showErrorMessage="1" sqref="D139" xr:uid="{00000000-0002-0000-1000-000005000000}">
      <formula1>D162:D163</formula1>
    </dataValidation>
    <dataValidation type="list" allowBlank="1" showInputMessage="1" showErrorMessage="1" sqref="D135" xr:uid="{00000000-0002-0000-1000-000006000000}">
      <formula1>J162:J163</formula1>
    </dataValidation>
    <dataValidation type="list" allowBlank="1" showInputMessage="1" showErrorMessage="1" sqref="D138" xr:uid="{00000000-0002-0000-1000-000007000000}">
      <formula1>D162:D163</formula1>
    </dataValidation>
    <dataValidation allowBlank="1" showInputMessage="1" showErrorMessage="1" prompt="Use Form &quot;F&quot; for input" sqref="G82:G83" xr:uid="{00000000-0002-0000-1000-000008000000}"/>
    <dataValidation type="decimal" allowBlank="1" showInputMessage="1" showErrorMessage="1" prompt="Enter current mileage rate" sqref="J85" xr:uid="{00000000-0002-0000-1000-000009000000}">
      <formula1>0</formula1>
      <formula2>0.99</formula2>
    </dataValidation>
    <dataValidation type="whole" allowBlank="1" showInputMessage="1" showErrorMessage="1" sqref="J120:J122 J53" xr:uid="{00000000-0002-0000-1000-00000A000000}">
      <formula1>0</formula1>
      <formula2>1</formula2>
    </dataValidation>
    <dataValidation type="list" allowBlank="1" showInputMessage="1" showErrorMessage="1" prompt="method" sqref="D130" xr:uid="{00000000-0002-0000-1000-00000B000000}">
      <formula1>D161</formula1>
    </dataValidation>
    <dataValidation type="whole" allowBlank="1" showInputMessage="1" showErrorMessage="1" prompt="number of round trips to site, if not a round trip enter in other mileage_x000a_" sqref="J87" xr:uid="{00000000-0002-0000-1000-00000C000000}">
      <formula1>1</formula1>
      <formula2>150</formula2>
    </dataValidation>
    <dataValidation type="whole" operator="lessThanOrEqual" allowBlank="1" showInputMessage="1" showErrorMessage="1" prompt="_x000a_mileage one way, office to site. Not to be greater than 450 miles_x000a__x000a__x000a_" sqref="J86" xr:uid="{00000000-0002-0000-1000-00000D000000}">
      <formula1>450</formula1>
    </dataValidation>
    <dataValidation type="decimal" allowBlank="1" showErrorMessage="1" sqref="H88" xr:uid="{00000000-0002-0000-1000-00000E000000}">
      <formula1>0</formula1>
      <formula2>0.99</formula2>
    </dataValidation>
    <dataValidation type="whole" allowBlank="1" showInputMessage="1" showErrorMessage="1" error="Cell will only accept the value &quot;1&quot;_x000a__x000a_" sqref="J59" xr:uid="{00000000-0002-0000-1000-00000F000000}">
      <formula1>0</formula1>
      <formula2>1</formula2>
    </dataValidation>
    <dataValidation allowBlank="1" showInputMessage="1" showErrorMessage="1" prompt="Enter number of samples here_x000a_" sqref="J127:J131" xr:uid="{00000000-0002-0000-1000-000010000000}"/>
    <dataValidation allowBlank="1" showInputMessage="1" showErrorMessage="1" prompt="Enter travel time in hours_x000a_" sqref="J90 J92:J93" xr:uid="{00000000-0002-0000-1000-000011000000}"/>
    <dataValidation allowBlank="1" showInputMessage="1" showErrorMessage="1" prompt="Enter Per Diem value from Form &quot;E&quot;. Site should be greater than 50 miles from office._x000a_" sqref="J95:J98" xr:uid="{00000000-0002-0000-1000-000012000000}"/>
    <dataValidation type="list" allowBlank="1" showErrorMessage="1" sqref="I127:I156" xr:uid="{00000000-0002-0000-1000-000013000000}">
      <formula1>pass</formula1>
    </dataValidation>
    <dataValidation type="whole" operator="lessThanOrEqual" allowBlank="1" showInputMessage="1" showErrorMessage="1" sqref="J67" xr:uid="{00000000-0002-0000-1000-000014000000}">
      <formula1>1</formula1>
    </dataValidation>
    <dataValidation type="whole" operator="equal" allowBlank="1" showInputMessage="1" showErrorMessage="1" sqref="J72" xr:uid="{00000000-0002-0000-1000-000015000000}">
      <formula1>1</formula1>
    </dataValidation>
    <dataValidation type="whole" allowBlank="1" showInputMessage="1" showErrorMessage="1" sqref="J77:J79" xr:uid="{00000000-0002-0000-1000-000016000000}">
      <formula1>0</formula1>
      <formula2>3</formula2>
    </dataValidation>
    <dataValidation type="whole" operator="lessThanOrEqual" allowBlank="1" showInputMessage="1" showErrorMessage="1" sqref="J80" xr:uid="{00000000-0002-0000-1000-000017000000}">
      <formula1>3</formula1>
    </dataValidation>
    <dataValidation allowBlank="1" showErrorMessage="1" prompt="Use Form &quot;F&quot; for input" sqref="G81:H81" xr:uid="{00000000-0002-0000-1000-000018000000}"/>
    <dataValidation operator="equal" allowBlank="1" showInputMessage="1" showErrorMessage="1" prompt="Enter travel time in hours" sqref="J91" xr:uid="{00000000-0002-0000-1000-000019000000}"/>
    <dataValidation type="list" allowBlank="1" showInputMessage="1" showErrorMessage="1" prompt="method" sqref="D129" xr:uid="{00000000-0002-0000-1000-00001A000000}">
      <formula1>E159</formula1>
    </dataValidation>
    <dataValidation type="list" allowBlank="1" showInputMessage="1" showErrorMessage="1" sqref="D131" xr:uid="{00000000-0002-0000-1000-00001B000000}">
      <formula1>G159</formula1>
    </dataValidation>
    <dataValidation type="list" allowBlank="1" showInputMessage="1" showErrorMessage="1" sqref="D133" xr:uid="{00000000-0002-0000-1000-00001C000000}">
      <formula1>H161:H163</formula1>
    </dataValidation>
    <dataValidation type="list" allowBlank="1" showInputMessage="1" showErrorMessage="1" sqref="C107" xr:uid="{B5C2EE15-1A49-436A-AC1A-3FE52544797C}">
      <formula1>$D$107:$D$108</formula1>
    </dataValidation>
  </dataValidations>
  <printOptions horizontalCentered="1"/>
  <pageMargins left="0.5" right="0.5" top="0.75" bottom="0.25" header="0" footer="0"/>
  <pageSetup scale="94" fitToHeight="3" orientation="portrait" r:id="rId2"/>
  <headerFooter alignWithMargins="0">
    <oddHeader>&amp;RCP</oddHeader>
    <oddFooter>&amp;LADEM Form 31 DRAFT&amp;C2/2025&amp;R*M9 DRAFT</oddFooter>
  </headerFooter>
  <rowBreaks count="2" manualBreakCount="2">
    <brk id="62" min="1" max="10" man="1"/>
    <brk id="118" min="1" max="10" man="1"/>
  </rowBreaks>
  <ignoredErrors>
    <ignoredError sqref="F63" formulaRange="1"/>
  </ignoredErrors>
  <drawing r:id="rId3"/>
  <legacyDrawing r:id="rId4"/>
  <mc:AlternateContent xmlns:mc="http://schemas.openxmlformats.org/markup-compatibility/2006">
    <mc:Choice Requires="x14">
      <controls>
        <mc:AlternateContent xmlns:mc="http://schemas.openxmlformats.org/markup-compatibility/2006">
          <mc:Choice Requires="x14">
            <control shapeId="13315" r:id="rId5" name="Button 3">
              <controlPr defaultSize="0" print="0" autoFill="0" autoPict="0" macro="[0]!deletecpbinputs">
                <anchor moveWithCells="1">
                  <from>
                    <xdr:col>0</xdr:col>
                    <xdr:colOff>144780</xdr:colOff>
                    <xdr:row>17</xdr:row>
                    <xdr:rowOff>76200</xdr:rowOff>
                  </from>
                  <to>
                    <xdr:col>0</xdr:col>
                    <xdr:colOff>838200</xdr:colOff>
                    <xdr:row>21</xdr:row>
                    <xdr:rowOff>38100</xdr:rowOff>
                  </to>
                </anchor>
              </controlPr>
            </control>
          </mc:Choice>
        </mc:AlternateContent>
        <mc:AlternateContent xmlns:mc="http://schemas.openxmlformats.org/markup-compatibility/2006">
          <mc:Choice Requires="x14">
            <control shapeId="13318" r:id="rId6" name="Button 6">
              <controlPr defaultSize="0" print="0" autoFill="0" autoPict="0" macro="[0]!one">
                <anchor moveWithCells="1">
                  <from>
                    <xdr:col>0</xdr:col>
                    <xdr:colOff>182880</xdr:colOff>
                    <xdr:row>12</xdr:row>
                    <xdr:rowOff>60960</xdr:rowOff>
                  </from>
                  <to>
                    <xdr:col>0</xdr:col>
                    <xdr:colOff>792480</xdr:colOff>
                    <xdr:row>15</xdr:row>
                    <xdr:rowOff>76200</xdr:rowOff>
                  </to>
                </anchor>
              </controlPr>
            </control>
          </mc:Choice>
        </mc:AlternateContent>
        <mc:AlternateContent xmlns:mc="http://schemas.openxmlformats.org/markup-compatibility/2006">
          <mc:Choice Requires="x14">
            <control shapeId="13319" r:id="rId7" name="Button 7">
              <controlPr defaultSize="0" print="0" autoFill="0" autoPict="0" macro="[0]!eight">
                <anchor>
                  <from>
                    <xdr:col>0</xdr:col>
                    <xdr:colOff>160020</xdr:colOff>
                    <xdr:row>146</xdr:row>
                    <xdr:rowOff>7620</xdr:rowOff>
                  </from>
                  <to>
                    <xdr:col>0</xdr:col>
                    <xdr:colOff>822960</xdr:colOff>
                    <xdr:row>150</xdr:row>
                    <xdr:rowOff>22860</xdr:rowOff>
                  </to>
                </anchor>
              </controlPr>
            </control>
          </mc:Choice>
        </mc:AlternateContent>
        <mc:AlternateContent xmlns:mc="http://schemas.openxmlformats.org/markup-compatibility/2006">
          <mc:Choice Requires="x14">
            <control shapeId="13320" r:id="rId8" name="Button 8">
              <controlPr defaultSize="0" print="0" autoFill="0" autoPict="0" macro="[0]!eight">
                <anchor moveWithCells="1">
                  <from>
                    <xdr:col>0</xdr:col>
                    <xdr:colOff>152400</xdr:colOff>
                    <xdr:row>22</xdr:row>
                    <xdr:rowOff>38100</xdr:rowOff>
                  </from>
                  <to>
                    <xdr:col>0</xdr:col>
                    <xdr:colOff>830580</xdr:colOff>
                    <xdr:row>25</xdr:row>
                    <xdr:rowOff>152400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tabColor rgb="FFFF7C80"/>
    <pageSetUpPr fitToPage="1"/>
  </sheetPr>
  <dimension ref="A1:M62"/>
  <sheetViews>
    <sheetView showGridLines="0" showRowColHeaders="0" zoomScale="110" zoomScaleNormal="110" workbookViewId="0">
      <pane ySplit="4" topLeftCell="A5" activePane="bottomLeft" state="frozen"/>
      <selection activeCell="F5" sqref="B5:J10"/>
      <selection pane="bottomLeft" activeCell="F5" sqref="B5:J10"/>
    </sheetView>
  </sheetViews>
  <sheetFormatPr defaultColWidth="11.44140625" defaultRowHeight="13.2" x14ac:dyDescent="0.25"/>
  <cols>
    <col min="1" max="1" width="13.6640625" style="173" customWidth="1"/>
    <col min="2" max="2" width="20.6640625" style="105" customWidth="1"/>
    <col min="3" max="3" width="5.6640625" style="105" customWidth="1"/>
    <col min="4" max="4" width="9.6640625" style="105" customWidth="1"/>
    <col min="5" max="5" width="12.109375" style="105" customWidth="1"/>
    <col min="6" max="6" width="10.109375" style="105" customWidth="1"/>
    <col min="7" max="7" width="14.33203125" style="264" customWidth="1"/>
    <col min="8" max="8" width="5.44140625" style="260" customWidth="1"/>
    <col min="9" max="9" width="6.44140625" style="193" customWidth="1"/>
    <col min="10" max="10" width="6.33203125" style="196" customWidth="1"/>
    <col min="11" max="11" width="13.109375" style="427" customWidth="1"/>
    <col min="12" max="16384" width="11.44140625" style="105"/>
  </cols>
  <sheetData>
    <row r="1" spans="1:13" ht="19.2" customHeight="1" thickBot="1" x14ac:dyDescent="0.3">
      <c r="J1" s="105"/>
    </row>
    <row r="2" spans="1:13" ht="18.75" customHeight="1" thickBot="1" x14ac:dyDescent="0.3">
      <c r="B2" s="288" t="s">
        <v>877</v>
      </c>
      <c r="C2" s="289"/>
      <c r="D2" s="289"/>
      <c r="E2" s="289"/>
      <c r="F2" s="289"/>
      <c r="G2" s="289"/>
      <c r="H2" s="289"/>
      <c r="I2" s="289"/>
      <c r="J2" s="289"/>
      <c r="K2" s="421"/>
    </row>
    <row r="3" spans="1:13" ht="16.2" thickBot="1" x14ac:dyDescent="0.3">
      <c r="B3" s="2332" t="s">
        <v>213</v>
      </c>
      <c r="C3" s="2333"/>
      <c r="D3" s="2333"/>
      <c r="E3" s="2333"/>
      <c r="F3" s="2333"/>
      <c r="G3" s="2333"/>
      <c r="H3" s="2333"/>
      <c r="I3" s="2333"/>
      <c r="J3" s="2333"/>
      <c r="K3" s="2334"/>
    </row>
    <row r="4" spans="1:13" ht="13.95" customHeight="1" x14ac:dyDescent="0.25">
      <c r="B4" s="270"/>
      <c r="C4" s="271" t="s">
        <v>314</v>
      </c>
      <c r="D4" s="271"/>
      <c r="E4" s="749"/>
      <c r="F4" s="749"/>
      <c r="G4" s="750" t="s">
        <v>215</v>
      </c>
      <c r="H4" s="751" t="s">
        <v>839</v>
      </c>
      <c r="I4" s="752" t="s">
        <v>126</v>
      </c>
      <c r="J4" s="753" t="s">
        <v>127</v>
      </c>
      <c r="K4" s="425" t="s">
        <v>967</v>
      </c>
    </row>
    <row r="5" spans="1:13" ht="13.95" customHeight="1" x14ac:dyDescent="0.25">
      <c r="B5" s="200" t="s">
        <v>1208</v>
      </c>
      <c r="C5" s="1142"/>
      <c r="D5" s="1142"/>
      <c r="E5" s="745"/>
      <c r="F5" s="745"/>
      <c r="G5" s="746"/>
      <c r="H5" s="747"/>
      <c r="I5" s="754" t="str">
        <f>IF('Form "C" Drilling'!J5="","",'Form "C" Drilling'!J5)</f>
        <v/>
      </c>
      <c r="J5" s="748"/>
      <c r="K5" s="1255"/>
    </row>
    <row r="6" spans="1:13" ht="13.95" customHeight="1" x14ac:dyDescent="0.25">
      <c r="B6" s="200" t="s">
        <v>1308</v>
      </c>
      <c r="C6" s="163"/>
      <c r="D6" s="163"/>
      <c r="E6" s="163"/>
      <c r="F6" s="163"/>
      <c r="G6" s="1215" t="str">
        <f>IF(J5="","",6*J5)</f>
        <v/>
      </c>
      <c r="H6" s="259" t="s">
        <v>682</v>
      </c>
      <c r="I6" s="161" t="str">
        <f>IF('Form "C" Drilling'!J6&gt;=1,'Form "C" Drilling'!J6,"")</f>
        <v/>
      </c>
      <c r="J6" s="707"/>
      <c r="K6" s="1256"/>
    </row>
    <row r="7" spans="1:13" s="194" customFormat="1" ht="13.95" customHeight="1" x14ac:dyDescent="0.25">
      <c r="A7" s="278"/>
      <c r="B7" s="804" t="s">
        <v>1368</v>
      </c>
      <c r="C7" s="719"/>
      <c r="D7" s="719"/>
      <c r="E7" s="719"/>
      <c r="F7" s="719"/>
      <c r="G7" s="1215"/>
      <c r="H7" s="261"/>
      <c r="I7" s="161" t="str">
        <f>IF('Form "C" Drilling'!J7&gt;=1,'Form "C" Drilling'!J7,"")</f>
        <v/>
      </c>
      <c r="J7" s="707"/>
      <c r="K7" s="1256" t="str">
        <f>IF(J7="","",((J6*G6*2)*J7+J7*'Maximum Rates'!D59))</f>
        <v/>
      </c>
      <c r="M7" s="105"/>
    </row>
    <row r="8" spans="1:13" s="286" customFormat="1" ht="13.95" customHeight="1" x14ac:dyDescent="0.25">
      <c r="A8" s="283"/>
      <c r="B8" s="154" t="s">
        <v>1309</v>
      </c>
      <c r="C8" s="273"/>
      <c r="D8" s="273"/>
      <c r="E8" s="273"/>
      <c r="F8" s="273"/>
      <c r="G8" s="1251"/>
      <c r="H8" s="273"/>
      <c r="I8" s="273"/>
      <c r="J8" s="273"/>
      <c r="K8" s="1257"/>
      <c r="M8" s="105"/>
    </row>
    <row r="9" spans="1:13" ht="13.95" customHeight="1" x14ac:dyDescent="0.25">
      <c r="B9" s="718" t="s">
        <v>1125</v>
      </c>
      <c r="C9" s="719"/>
      <c r="D9" s="719"/>
      <c r="E9" s="719"/>
      <c r="F9" s="719"/>
      <c r="G9" s="1252" t="str">
        <f>IF(J5="","",3*J5)</f>
        <v/>
      </c>
      <c r="H9" s="284" t="s">
        <v>682</v>
      </c>
      <c r="I9" s="285" t="str">
        <f>IF('Form "C" Drilling'!J9&gt;=1,'Form "C" Drilling'!J9,"")</f>
        <v/>
      </c>
      <c r="J9" s="707"/>
      <c r="K9" s="1256"/>
    </row>
    <row r="10" spans="1:13" ht="13.95" customHeight="1" thickBot="1" x14ac:dyDescent="0.3">
      <c r="B10" s="718" t="s">
        <v>1368</v>
      </c>
      <c r="C10" s="719"/>
      <c r="D10" s="719"/>
      <c r="E10" s="719"/>
      <c r="F10" s="719"/>
      <c r="G10" s="258"/>
      <c r="H10" s="261"/>
      <c r="I10" s="285" t="str">
        <f>IF('Form "C" Drilling'!J10&gt;=1,'Form "C" Drilling'!J10,"")</f>
        <v/>
      </c>
      <c r="J10" s="709"/>
      <c r="K10" s="1256" t="str">
        <f>IF(J10="","",((J9*G9*2)*J10+J10*'Maximum Rates'!D59))</f>
        <v/>
      </c>
    </row>
    <row r="11" spans="1:13" ht="13.95" customHeight="1" thickBot="1" x14ac:dyDescent="0.3">
      <c r="B11" s="2329" t="s">
        <v>676</v>
      </c>
      <c r="C11" s="2330"/>
      <c r="D11" s="2330"/>
      <c r="E11" s="2330"/>
      <c r="F11" s="2330"/>
      <c r="G11" s="2330"/>
      <c r="H11" s="2330"/>
      <c r="I11" s="2330"/>
      <c r="J11" s="2330"/>
      <c r="K11" s="2331"/>
    </row>
    <row r="12" spans="1:13" ht="13.95" customHeight="1" x14ac:dyDescent="0.25">
      <c r="B12" s="244" t="s">
        <v>1134</v>
      </c>
      <c r="C12" s="702"/>
      <c r="D12" s="702"/>
      <c r="E12" s="702"/>
      <c r="F12" s="702"/>
      <c r="G12" s="1253">
        <f>'Maximum Rates'!D61</f>
        <v>205</v>
      </c>
      <c r="H12" s="712" t="s">
        <v>436</v>
      </c>
      <c r="I12" s="714" t="str">
        <f>IF('Form "C" Drilling'!J12&gt;=1,'Form "C" Drilling'!J12,"")</f>
        <v/>
      </c>
      <c r="J12" s="708"/>
      <c r="K12" s="1258" t="str">
        <f>IF(J12&lt;1,"",(J12*G12))</f>
        <v/>
      </c>
    </row>
    <row r="13" spans="1:13" ht="13.95" customHeight="1" x14ac:dyDescent="0.25">
      <c r="B13" s="200" t="s">
        <v>1135</v>
      </c>
      <c r="C13" s="151"/>
      <c r="D13" s="151"/>
      <c r="E13" s="151"/>
      <c r="F13" s="151"/>
      <c r="G13" s="1254">
        <f>'Maximum Rates'!D62</f>
        <v>242</v>
      </c>
      <c r="H13" s="259" t="s">
        <v>436</v>
      </c>
      <c r="I13" s="162" t="str">
        <f>IF('Form "C" Drilling'!J13&gt;=1,'Form "C" Drilling'!J13,"")</f>
        <v/>
      </c>
      <c r="J13" s="710"/>
      <c r="K13" s="1256" t="str">
        <f>IF(J13&lt;1,"",(J13*G13))</f>
        <v/>
      </c>
    </row>
    <row r="14" spans="1:13" ht="13.95" customHeight="1" x14ac:dyDescent="0.25">
      <c r="B14" s="200" t="s">
        <v>1143</v>
      </c>
      <c r="C14" s="151"/>
      <c r="D14" s="151"/>
      <c r="E14" s="151"/>
      <c r="F14" s="151"/>
      <c r="G14" s="1153"/>
      <c r="H14" s="259" t="s">
        <v>436</v>
      </c>
      <c r="I14" s="162" t="str">
        <f>IF('Form "C" Drilling'!J14&gt;=1,'Form "C" Drilling'!J14,"")</f>
        <v/>
      </c>
      <c r="J14" s="734"/>
      <c r="K14" s="1256" t="str">
        <f>IF(J14&lt;1,"",(J14*G14))</f>
        <v/>
      </c>
    </row>
    <row r="15" spans="1:13" ht="13.95" customHeight="1" x14ac:dyDescent="0.25">
      <c r="B15" s="718" t="s">
        <v>798</v>
      </c>
      <c r="C15" s="719"/>
      <c r="D15" s="719"/>
      <c r="E15" s="719"/>
      <c r="F15" s="719"/>
      <c r="G15" s="1153"/>
      <c r="H15" s="259" t="s">
        <v>436</v>
      </c>
      <c r="I15" s="161" t="str">
        <f>IF('Form "C" Drilling'!J15&gt;=1,'Form "C" Drilling'!J15,"")</f>
        <v/>
      </c>
      <c r="J15" s="707"/>
      <c r="K15" s="1256" t="str">
        <f>IF(J15&lt;1,"",(J15*G15))</f>
        <v/>
      </c>
    </row>
    <row r="16" spans="1:13" ht="13.95" customHeight="1" x14ac:dyDescent="0.25">
      <c r="B16" s="200" t="s">
        <v>841</v>
      </c>
      <c r="C16" s="163"/>
      <c r="D16" s="163"/>
      <c r="E16" s="163"/>
      <c r="F16" s="163"/>
      <c r="G16" s="1154"/>
      <c r="H16" s="1602" t="s">
        <v>176</v>
      </c>
      <c r="I16" s="161" t="str">
        <f>IF('Form "C" Drilling'!J16&gt;=1,'Form "C" Drilling'!J16,"")</f>
        <v/>
      </c>
      <c r="J16" s="707"/>
      <c r="K16" s="1256" t="str">
        <f>IF(J16&lt;1,"",(J16*G16))</f>
        <v/>
      </c>
    </row>
    <row r="17" spans="2:11" ht="13.95" customHeight="1" thickBot="1" x14ac:dyDescent="0.3">
      <c r="B17" s="718" t="s">
        <v>842</v>
      </c>
      <c r="C17" s="230"/>
      <c r="D17" s="230"/>
      <c r="E17" s="230"/>
      <c r="F17" s="230"/>
      <c r="G17" s="265"/>
      <c r="H17" s="261"/>
      <c r="I17" s="199"/>
      <c r="J17" s="156"/>
      <c r="K17" s="1256"/>
    </row>
    <row r="18" spans="2:11" ht="13.95" customHeight="1" thickBot="1" x14ac:dyDescent="0.3">
      <c r="B18" s="2329" t="s">
        <v>677</v>
      </c>
      <c r="C18" s="2330"/>
      <c r="D18" s="2330"/>
      <c r="E18" s="2330"/>
      <c r="F18" s="2330"/>
      <c r="G18" s="2330"/>
      <c r="H18" s="2330"/>
      <c r="I18" s="2330"/>
      <c r="J18" s="2330"/>
      <c r="K18" s="2331"/>
    </row>
    <row r="19" spans="2:11" ht="13.95" customHeight="1" x14ac:dyDescent="0.25">
      <c r="B19" s="718" t="s">
        <v>1136</v>
      </c>
      <c r="C19" s="230"/>
      <c r="D19" s="230"/>
      <c r="E19" s="230"/>
      <c r="F19" s="230"/>
      <c r="G19" s="1254">
        <f>'Maximum Rates'!D65</f>
        <v>65</v>
      </c>
      <c r="H19" s="259" t="s">
        <v>683</v>
      </c>
      <c r="I19" s="162" t="str">
        <f>IF('Form "C" Drilling'!J18&gt;=1,'Form "C" Drilling'!J18,"")</f>
        <v/>
      </c>
      <c r="J19" s="710"/>
      <c r="K19" s="1256" t="str">
        <f t="shared" ref="K19:K24" si="0">IF(J19&lt;1,"",(J19*G19))</f>
        <v/>
      </c>
    </row>
    <row r="20" spans="2:11" ht="13.95" customHeight="1" x14ac:dyDescent="0.25">
      <c r="B20" s="718" t="s">
        <v>986</v>
      </c>
      <c r="C20" s="230"/>
      <c r="D20" s="230"/>
      <c r="E20" s="230"/>
      <c r="F20" s="230"/>
      <c r="G20" s="1254">
        <f>'Maximum Rates'!D66</f>
        <v>70</v>
      </c>
      <c r="H20" s="259" t="s">
        <v>683</v>
      </c>
      <c r="I20" s="161" t="str">
        <f>IF('Form "C" Drilling'!J19&gt;=1,'Form "C" Drilling'!J19,"")</f>
        <v/>
      </c>
      <c r="J20" s="707"/>
      <c r="K20" s="1256" t="str">
        <f t="shared" si="0"/>
        <v/>
      </c>
    </row>
    <row r="21" spans="2:11" ht="13.95" customHeight="1" x14ac:dyDescent="0.25">
      <c r="B21" s="718" t="s">
        <v>987</v>
      </c>
      <c r="C21" s="230"/>
      <c r="D21" s="230"/>
      <c r="E21" s="230"/>
      <c r="F21" s="230"/>
      <c r="G21" s="1254">
        <f>'Maximum Rates'!D72</f>
        <v>145</v>
      </c>
      <c r="H21" s="259" t="s">
        <v>683</v>
      </c>
      <c r="I21" s="161" t="str">
        <f>IF('Form "C" Drilling'!J20&gt;=1,'Form "C" Drilling'!J20,"")</f>
        <v/>
      </c>
      <c r="J21" s="707"/>
      <c r="K21" s="1256" t="str">
        <f t="shared" si="0"/>
        <v/>
      </c>
    </row>
    <row r="22" spans="2:11" ht="13.95" customHeight="1" x14ac:dyDescent="0.25">
      <c r="B22" s="200" t="s">
        <v>807</v>
      </c>
      <c r="C22" s="163"/>
      <c r="D22" s="163"/>
      <c r="E22" s="163"/>
      <c r="F22" s="163"/>
      <c r="G22" s="1254">
        <f>'Maximum Rates'!D67</f>
        <v>30</v>
      </c>
      <c r="H22" s="259" t="s">
        <v>683</v>
      </c>
      <c r="I22" s="161" t="str">
        <f>IF('Form "C" Drilling'!J21&gt;=1,'Form "C" Drilling'!J21,"")</f>
        <v/>
      </c>
      <c r="J22" s="707"/>
      <c r="K22" s="1256" t="str">
        <f t="shared" si="0"/>
        <v/>
      </c>
    </row>
    <row r="23" spans="2:11" ht="13.95" customHeight="1" x14ac:dyDescent="0.25">
      <c r="B23" s="718" t="s">
        <v>808</v>
      </c>
      <c r="C23" s="164"/>
      <c r="D23" s="164"/>
      <c r="E23" s="164"/>
      <c r="F23" s="164"/>
      <c r="G23" s="1216">
        <f>'Maximum Rates'!D68</f>
        <v>36</v>
      </c>
      <c r="H23" s="259" t="s">
        <v>683</v>
      </c>
      <c r="I23" s="161" t="str">
        <f>IF('Form "C" Drilling'!J22&gt;=1,'Form "C" Drilling'!J22,"")</f>
        <v/>
      </c>
      <c r="J23" s="707"/>
      <c r="K23" s="1256" t="str">
        <f t="shared" si="0"/>
        <v/>
      </c>
    </row>
    <row r="24" spans="2:11" ht="13.95" customHeight="1" thickBot="1" x14ac:dyDescent="0.3">
      <c r="B24" s="200" t="s">
        <v>1133</v>
      </c>
      <c r="C24" s="163"/>
      <c r="D24" s="164"/>
      <c r="E24" s="164"/>
      <c r="F24" s="164"/>
      <c r="G24" s="1156"/>
      <c r="H24" s="259" t="s">
        <v>683</v>
      </c>
      <c r="I24" s="161" t="str">
        <f>IF('Form "C" Drilling'!J23&gt;=1,'Form "C" Drilling'!J23,"")</f>
        <v/>
      </c>
      <c r="J24" s="707"/>
      <c r="K24" s="1256" t="str">
        <f t="shared" si="0"/>
        <v/>
      </c>
    </row>
    <row r="25" spans="2:11" ht="13.95" customHeight="1" thickBot="1" x14ac:dyDescent="0.3">
      <c r="B25" s="2329" t="s">
        <v>380</v>
      </c>
      <c r="C25" s="2330"/>
      <c r="D25" s="2330"/>
      <c r="E25" s="2330"/>
      <c r="F25" s="2330"/>
      <c r="G25" s="2330"/>
      <c r="H25" s="2330"/>
      <c r="I25" s="2330"/>
      <c r="J25" s="2330"/>
      <c r="K25" s="2331"/>
    </row>
    <row r="26" spans="2:11" ht="13.95" customHeight="1" x14ac:dyDescent="0.25">
      <c r="B26" s="272" t="s">
        <v>843</v>
      </c>
      <c r="C26" s="273"/>
      <c r="D26" s="273"/>
      <c r="E26" s="273"/>
      <c r="F26" s="273"/>
      <c r="G26" s="1259">
        <f>'Maximum Rates'!D69</f>
        <v>71</v>
      </c>
      <c r="H26" s="259" t="s">
        <v>683</v>
      </c>
      <c r="I26" s="162" t="str">
        <f>IF('Form "C" Drilling'!J25&gt;=1,'Form "C" Drilling'!J25,"")</f>
        <v/>
      </c>
      <c r="J26" s="713"/>
      <c r="K26" s="1256" t="str">
        <f>IF(J26&lt;1,"",(J26*G26))</f>
        <v/>
      </c>
    </row>
    <row r="27" spans="2:11" ht="13.95" customHeight="1" x14ac:dyDescent="0.25">
      <c r="B27" s="272" t="s">
        <v>800</v>
      </c>
      <c r="C27" s="163"/>
      <c r="D27" s="163"/>
      <c r="E27" s="163"/>
      <c r="F27" s="163"/>
      <c r="G27" s="1254">
        <f>'Maximum Rates'!D70</f>
        <v>77</v>
      </c>
      <c r="H27" s="259" t="s">
        <v>683</v>
      </c>
      <c r="I27" s="161" t="str">
        <f>IF('Form "C" Drilling'!J26&gt;=1,'Form "C" Drilling'!J26,"")</f>
        <v/>
      </c>
      <c r="J27" s="707"/>
      <c r="K27" s="1256" t="str">
        <f>IF(J27&lt;1,"",(J27*G27))</f>
        <v/>
      </c>
    </row>
    <row r="28" spans="2:11" ht="13.5" customHeight="1" x14ac:dyDescent="0.25">
      <c r="B28" s="200" t="s">
        <v>989</v>
      </c>
      <c r="C28" s="163"/>
      <c r="D28" s="163"/>
      <c r="E28" s="163"/>
      <c r="F28" s="163"/>
      <c r="G28" s="1254">
        <f>'Maximum Rates'!D72</f>
        <v>145</v>
      </c>
      <c r="H28" s="335" t="s">
        <v>683</v>
      </c>
      <c r="I28" s="161" t="str">
        <f>IF('Form "C" Drilling'!J27&gt;=1,'Form "C" Drilling'!J27,"")</f>
        <v/>
      </c>
      <c r="J28" s="707"/>
      <c r="K28" s="1256" t="str">
        <f>IF(J28&lt;1,"",(J28*G28))</f>
        <v/>
      </c>
    </row>
    <row r="29" spans="2:11" ht="9.75" hidden="1" customHeight="1" x14ac:dyDescent="0.25">
      <c r="B29" s="1421" t="s">
        <v>1370</v>
      </c>
      <c r="C29" s="955"/>
      <c r="D29" s="955"/>
      <c r="E29" s="955"/>
      <c r="F29" s="955"/>
      <c r="G29" s="1606"/>
      <c r="H29" s="1603">
        <f>IF(SUM(K12:K49)=0,0,IF(SUM(K12:K49)&lt;3000,3000,SUM(K12:K49)))</f>
        <v>0</v>
      </c>
      <c r="I29" s="1604">
        <f>IF(AND(H29&gt;0,H29&lt;=3000),0,1)</f>
        <v>1</v>
      </c>
      <c r="J29" s="1601"/>
      <c r="K29" s="1605">
        <v>0</v>
      </c>
    </row>
    <row r="30" spans="2:11" ht="13.95" customHeight="1" x14ac:dyDescent="0.25">
      <c r="B30" s="200" t="s">
        <v>332</v>
      </c>
      <c r="C30" s="163"/>
      <c r="D30" s="683"/>
      <c r="E30" s="684"/>
      <c r="F30" s="685"/>
      <c r="G30" s="1153"/>
      <c r="H30" s="706" t="s">
        <v>395</v>
      </c>
      <c r="I30" s="161" t="str">
        <f>IF('Form "C" Drilling'!J29&gt;=1,'Form "C" Drilling'!J29,"")</f>
        <v/>
      </c>
      <c r="J30" s="716"/>
      <c r="K30" s="1256" t="str">
        <f>IF(J30&lt;1,"",(J30*G30))</f>
        <v/>
      </c>
    </row>
    <row r="31" spans="2:11" ht="13.95" customHeight="1" thickBot="1" x14ac:dyDescent="0.3">
      <c r="B31" s="200" t="s">
        <v>688</v>
      </c>
      <c r="C31" s="163"/>
      <c r="D31" s="163"/>
      <c r="E31" s="163"/>
      <c r="F31" s="163"/>
      <c r="G31" s="1254">
        <f>'Maximum Rates'!D71</f>
        <v>49</v>
      </c>
      <c r="H31" s="259" t="s">
        <v>683</v>
      </c>
      <c r="I31" s="281" t="str">
        <f>IF('Form "C" Drilling'!J30&gt;=1,'Form "C" Drilling'!J30,"")</f>
        <v/>
      </c>
      <c r="J31" s="711"/>
      <c r="K31" s="1256" t="str">
        <f>IF(J31&lt;1,"",(J31*G31))</f>
        <v/>
      </c>
    </row>
    <row r="32" spans="2:11" ht="13.95" customHeight="1" thickBot="1" x14ac:dyDescent="0.3">
      <c r="B32" s="2329" t="s">
        <v>679</v>
      </c>
      <c r="C32" s="2330"/>
      <c r="D32" s="2330"/>
      <c r="E32" s="2330"/>
      <c r="F32" s="2330"/>
      <c r="G32" s="2330"/>
      <c r="H32" s="2330"/>
      <c r="I32" s="2330"/>
      <c r="J32" s="2330"/>
      <c r="K32" s="2331"/>
    </row>
    <row r="33" spans="2:12" ht="13.95" customHeight="1" x14ac:dyDescent="0.25">
      <c r="B33" s="200" t="s">
        <v>809</v>
      </c>
      <c r="C33" s="163"/>
      <c r="D33" s="163"/>
      <c r="E33" s="163"/>
      <c r="F33" s="163"/>
      <c r="G33" s="1254">
        <f>'Maximum Rates'!D73</f>
        <v>2320</v>
      </c>
      <c r="H33" s="259" t="s">
        <v>395</v>
      </c>
      <c r="I33" s="162" t="str">
        <f>IF('Form "C" Drilling'!J32&gt;=1,'Form "C" Drilling'!J32,"")</f>
        <v/>
      </c>
      <c r="J33" s="710"/>
      <c r="K33" s="1256" t="str">
        <f>IF(J33&lt;1,"",(J33*G33))</f>
        <v/>
      </c>
    </row>
    <row r="34" spans="2:12" ht="13.95" customHeight="1" thickBot="1" x14ac:dyDescent="0.3">
      <c r="B34" s="200" t="s">
        <v>680</v>
      </c>
      <c r="C34" s="163"/>
      <c r="D34" s="163"/>
      <c r="E34" s="163"/>
      <c r="F34" s="163"/>
      <c r="G34" s="1254">
        <f>'Maximum Rates'!D74</f>
        <v>10</v>
      </c>
      <c r="H34" s="259" t="s">
        <v>683</v>
      </c>
      <c r="I34" s="161" t="str">
        <f>IF('Form "C" Drilling'!J33&gt;=1,'Form "C" Drilling'!J33,"")</f>
        <v/>
      </c>
      <c r="J34" s="707"/>
      <c r="K34" s="1256" t="str">
        <f>IF(J34&lt;1,"",(J34*G34))</f>
        <v/>
      </c>
    </row>
    <row r="35" spans="2:12" ht="13.95" customHeight="1" thickBot="1" x14ac:dyDescent="0.3">
      <c r="B35" s="2329" t="s">
        <v>681</v>
      </c>
      <c r="C35" s="2330"/>
      <c r="D35" s="2330"/>
      <c r="E35" s="2330"/>
      <c r="F35" s="2330"/>
      <c r="G35" s="2330"/>
      <c r="H35" s="2330"/>
      <c r="I35" s="2330"/>
      <c r="J35" s="2330"/>
      <c r="K35" s="2331"/>
    </row>
    <row r="36" spans="2:12" ht="13.95" customHeight="1" x14ac:dyDescent="0.25">
      <c r="B36" s="1141" t="s">
        <v>1130</v>
      </c>
      <c r="C36" s="197"/>
      <c r="D36" s="197"/>
      <c r="E36" s="197"/>
      <c r="F36" s="197"/>
      <c r="G36" s="1260">
        <f>'Maximum Rates'!D75</f>
        <v>115</v>
      </c>
      <c r="H36" s="715" t="s">
        <v>683</v>
      </c>
      <c r="I36" s="714" t="str">
        <f>IF('Form "C" Drilling'!J35&gt;=1,'Form "C" Drilling'!J35,"")</f>
        <v/>
      </c>
      <c r="J36" s="708"/>
      <c r="K36" s="1262" t="str">
        <f>IF(J36&lt;1,"",(J36*G36))</f>
        <v/>
      </c>
    </row>
    <row r="37" spans="2:12" ht="13.95" customHeight="1" x14ac:dyDescent="0.25">
      <c r="B37" s="154" t="s">
        <v>1236</v>
      </c>
      <c r="C37" s="164"/>
      <c r="D37" s="164"/>
      <c r="E37" s="164"/>
      <c r="F37" s="164"/>
      <c r="G37" s="1216">
        <f>'Maximum Rates'!D76</f>
        <v>35</v>
      </c>
      <c r="H37" s="259" t="s">
        <v>683</v>
      </c>
      <c r="I37" s="162" t="str">
        <f>IF('Form "C" Drilling'!J36&gt;=1,'Form "C" Drilling'!J36,"")</f>
        <v/>
      </c>
      <c r="J37" s="710"/>
      <c r="K37" s="1256" t="str">
        <f>IF(J37&lt;1,"",(J37*G37))</f>
        <v/>
      </c>
    </row>
    <row r="38" spans="2:12" ht="13.95" customHeight="1" x14ac:dyDescent="0.25">
      <c r="B38" s="154" t="s">
        <v>1237</v>
      </c>
      <c r="C38" s="164"/>
      <c r="D38" s="164"/>
      <c r="E38" s="164"/>
      <c r="F38" s="164"/>
      <c r="G38" s="1216">
        <f>'Maximum Rates'!D78</f>
        <v>45</v>
      </c>
      <c r="H38" s="259" t="s">
        <v>683</v>
      </c>
      <c r="I38" s="162" t="str">
        <f>IF('Form "C" Drilling'!J37&gt;=1,'Form "C" Drilling'!J37,"")</f>
        <v/>
      </c>
      <c r="J38" s="710"/>
      <c r="K38" s="1256" t="str">
        <f>IF(J38&lt;1,"",(J38*G38))</f>
        <v/>
      </c>
    </row>
    <row r="39" spans="2:12" ht="13.95" customHeight="1" x14ac:dyDescent="0.25">
      <c r="B39" s="154" t="s">
        <v>678</v>
      </c>
      <c r="C39" s="164"/>
      <c r="D39" s="164"/>
      <c r="E39" s="164"/>
      <c r="F39" s="164"/>
      <c r="G39" s="1216">
        <f>'Maximum Rates'!D77</f>
        <v>18</v>
      </c>
      <c r="H39" s="259" t="s">
        <v>683</v>
      </c>
      <c r="I39" s="161" t="str">
        <f>IF('Form "C" Drilling'!J38&gt;=1,'Form "C" Drilling'!J38,"")</f>
        <v/>
      </c>
      <c r="J39" s="707"/>
      <c r="K39" s="1256" t="str">
        <f t="shared" ref="K39:K46" si="1">IF(J39&lt;1,"",(J39*G39))</f>
        <v/>
      </c>
    </row>
    <row r="40" spans="2:12" ht="13.95" customHeight="1" x14ac:dyDescent="0.25">
      <c r="B40" s="718" t="s">
        <v>1369</v>
      </c>
      <c r="C40" s="164"/>
      <c r="D40" s="164"/>
      <c r="E40" s="164"/>
      <c r="F40" s="164"/>
      <c r="G40" s="1261"/>
      <c r="H40" s="262"/>
      <c r="I40" s="164"/>
      <c r="J40" s="167"/>
      <c r="K40" s="1256"/>
    </row>
    <row r="41" spans="2:12" ht="13.95" customHeight="1" x14ac:dyDescent="0.25">
      <c r="B41" s="718" t="s">
        <v>1225</v>
      </c>
      <c r="C41" s="164"/>
      <c r="D41" s="164"/>
      <c r="E41" s="164"/>
      <c r="F41" s="164"/>
      <c r="G41" s="1216">
        <f>'Maximum Rates'!D63</f>
        <v>550</v>
      </c>
      <c r="H41" s="259" t="s">
        <v>414</v>
      </c>
      <c r="I41" s="161" t="str">
        <f>IF('Form "C" Drilling'!J40&gt;=1,'Form "C" Drilling'!J40,"")</f>
        <v/>
      </c>
      <c r="J41" s="707"/>
      <c r="K41" s="1256" t="str">
        <f t="shared" si="1"/>
        <v/>
      </c>
    </row>
    <row r="42" spans="2:12" ht="13.95" customHeight="1" x14ac:dyDescent="0.25">
      <c r="B42" s="718" t="s">
        <v>684</v>
      </c>
      <c r="C42" s="164"/>
      <c r="D42" s="164"/>
      <c r="E42" s="164"/>
      <c r="F42" s="164"/>
      <c r="G42" s="1216">
        <f>'Maximum Rates'!D64</f>
        <v>250</v>
      </c>
      <c r="H42" s="259" t="s">
        <v>414</v>
      </c>
      <c r="I42" s="161" t="str">
        <f>IF('Form "C" Drilling'!J41&gt;=1,'Form "C" Drilling'!J41,"")</f>
        <v/>
      </c>
      <c r="J42" s="707"/>
      <c r="K42" s="1256" t="str">
        <f t="shared" si="1"/>
        <v/>
      </c>
    </row>
    <row r="43" spans="2:12" ht="13.95" customHeight="1" x14ac:dyDescent="0.25">
      <c r="B43" s="200" t="s">
        <v>82</v>
      </c>
      <c r="C43" s="163"/>
      <c r="D43" s="163"/>
      <c r="E43" s="163"/>
      <c r="F43" s="163"/>
      <c r="G43" s="1254">
        <f>'Maximum Rates'!C19</f>
        <v>75</v>
      </c>
      <c r="H43" s="259" t="s">
        <v>171</v>
      </c>
      <c r="I43" s="161" t="str">
        <f>IF('Form "C" Drilling'!J42&gt;=1,'Form "C" Drilling'!J42,"")</f>
        <v/>
      </c>
      <c r="J43" s="716"/>
      <c r="K43" s="1256" t="str">
        <f t="shared" si="1"/>
        <v/>
      </c>
    </row>
    <row r="44" spans="2:12" ht="13.95" customHeight="1" x14ac:dyDescent="0.25">
      <c r="B44" s="200" t="s">
        <v>242</v>
      </c>
      <c r="C44" s="163"/>
      <c r="D44" s="163"/>
      <c r="E44" s="163"/>
      <c r="F44" s="163"/>
      <c r="G44" s="1216">
        <f>'Maximum Rates'!D79</f>
        <v>58</v>
      </c>
      <c r="H44" s="259" t="s">
        <v>687</v>
      </c>
      <c r="I44" s="161" t="str">
        <f>IF('Form "C" Drilling'!J43&gt;=1,'Form "C" Drilling'!J43,"")</f>
        <v/>
      </c>
      <c r="J44" s="716"/>
      <c r="K44" s="1256" t="str">
        <f>IF(J44&lt;1,"",(J44*G44))</f>
        <v/>
      </c>
    </row>
    <row r="45" spans="2:12" ht="13.95" customHeight="1" x14ac:dyDescent="0.25">
      <c r="B45" s="200" t="s">
        <v>1425</v>
      </c>
      <c r="C45" s="163"/>
      <c r="D45" s="163"/>
      <c r="E45" s="163"/>
      <c r="F45" s="163"/>
      <c r="G45" s="1216">
        <f>'Maximum Rates'!D16</f>
        <v>150</v>
      </c>
      <c r="H45" s="440" t="s">
        <v>1422</v>
      </c>
      <c r="I45" s="161" t="str">
        <f>IF('Form "C" Drilling'!J44&gt;=1,'Form "C" Drilling'!J44,"")</f>
        <v/>
      </c>
      <c r="J45" s="716"/>
      <c r="K45" s="1256" t="str">
        <f t="shared" si="1"/>
        <v/>
      </c>
      <c r="L45" s="1562">
        <f>'Maximum Rates'!D15</f>
        <v>68</v>
      </c>
    </row>
    <row r="46" spans="2:12" ht="13.95" customHeight="1" x14ac:dyDescent="0.25">
      <c r="B46" s="200" t="s">
        <v>1426</v>
      </c>
      <c r="C46" s="163"/>
      <c r="D46" s="163"/>
      <c r="E46" s="163"/>
      <c r="F46" s="163"/>
      <c r="G46" s="1216">
        <f>'Maximum Rates'!D15</f>
        <v>68</v>
      </c>
      <c r="H46" s="440" t="s">
        <v>395</v>
      </c>
      <c r="I46" s="161" t="str">
        <f>IF('Form "C" Drilling'!J45&gt;=1,'Form "C" Drilling'!J45,"")</f>
        <v/>
      </c>
      <c r="J46" s="716"/>
      <c r="K46" s="1256" t="str">
        <f t="shared" si="1"/>
        <v/>
      </c>
      <c r="L46" s="1562"/>
    </row>
    <row r="47" spans="2:12" ht="13.95" customHeight="1" x14ac:dyDescent="0.25">
      <c r="B47" s="200" t="s">
        <v>691</v>
      </c>
      <c r="C47" s="163"/>
      <c r="D47" s="683"/>
      <c r="E47" s="684"/>
      <c r="F47" s="685"/>
      <c r="G47" s="1153"/>
      <c r="H47" s="441"/>
      <c r="I47" s="161" t="str">
        <f>IF('Form "C" Drilling'!J46&gt;=1,'Form "C" Drilling'!J46,"")</f>
        <v/>
      </c>
      <c r="J47" s="716"/>
      <c r="K47" s="1256" t="str">
        <f>IF(J47&lt;1,"",(J47*G47))</f>
        <v/>
      </c>
      <c r="L47" s="1562">
        <f>'Maximum Rates'!D16</f>
        <v>150</v>
      </c>
    </row>
    <row r="48" spans="2:12" ht="13.95" customHeight="1" x14ac:dyDescent="0.25">
      <c r="B48" s="200" t="s">
        <v>691</v>
      </c>
      <c r="C48" s="163"/>
      <c r="D48" s="683"/>
      <c r="E48" s="684"/>
      <c r="F48" s="685"/>
      <c r="G48" s="1153"/>
      <c r="H48" s="436"/>
      <c r="I48" s="161" t="str">
        <f>IF('Form "C" Drilling'!J47&gt;=1,'Form "C" Drilling'!J47,"")</f>
        <v/>
      </c>
      <c r="J48" s="716"/>
      <c r="K48" s="1256" t="str">
        <f>IF(J48&lt;1,"",(J48*G48))</f>
        <v/>
      </c>
    </row>
    <row r="49" spans="2:11" ht="13.95" customHeight="1" x14ac:dyDescent="0.25">
      <c r="B49" s="200" t="s">
        <v>691</v>
      </c>
      <c r="C49" s="163"/>
      <c r="D49" s="683"/>
      <c r="E49" s="684"/>
      <c r="F49" s="685"/>
      <c r="G49" s="1153"/>
      <c r="H49" s="436"/>
      <c r="I49" s="161" t="str">
        <f>IF('Form "C" Drilling'!J48&gt;=1,'Form "C" Drilling'!J48,"")</f>
        <v/>
      </c>
      <c r="J49" s="716"/>
      <c r="K49" s="1256" t="str">
        <f>IF(J49&lt;1,"",(J49*G49))</f>
        <v/>
      </c>
    </row>
    <row r="50" spans="2:11" ht="13.95" customHeight="1" x14ac:dyDescent="0.25">
      <c r="B50" s="200" t="s">
        <v>960</v>
      </c>
      <c r="C50" s="163"/>
      <c r="D50" s="163"/>
      <c r="E50" s="163"/>
      <c r="F50" s="163"/>
      <c r="G50" s="717">
        <f>SUM(K6:K49)</f>
        <v>0</v>
      </c>
      <c r="H50" s="805"/>
      <c r="I50" s="326" t="str">
        <f>IF('Form "C" Drilling'!J49="","",'Form "C" Drilling'!J49)</f>
        <v/>
      </c>
      <c r="J50" s="689"/>
      <c r="K50" s="1256" t="str">
        <f>IF(J50="","",(SUM(K7:K10)+H29)*J50)</f>
        <v/>
      </c>
    </row>
    <row r="51" spans="2:11" ht="9.9" customHeight="1" x14ac:dyDescent="0.25">
      <c r="B51" s="168"/>
      <c r="C51" s="169"/>
      <c r="D51" s="169"/>
      <c r="E51" s="169"/>
      <c r="F51" s="169"/>
      <c r="G51" s="266"/>
      <c r="H51" s="1612">
        <f>IF(K50="",0,K50)</f>
        <v>0</v>
      </c>
      <c r="I51" s="171"/>
      <c r="J51" s="1612"/>
      <c r="K51" s="428"/>
    </row>
    <row r="52" spans="2:11" ht="10.5" customHeight="1" x14ac:dyDescent="0.25">
      <c r="B52" s="168" t="s">
        <v>1220</v>
      </c>
      <c r="C52" s="169"/>
      <c r="D52" s="169"/>
      <c r="E52" s="169"/>
      <c r="F52" s="169"/>
      <c r="G52" s="266"/>
      <c r="H52" s="330"/>
      <c r="I52" s="171"/>
      <c r="J52" s="158"/>
      <c r="K52" s="428"/>
    </row>
    <row r="53" spans="2:11" ht="10.5" customHeight="1" x14ac:dyDescent="0.25">
      <c r="B53" s="168" t="s">
        <v>690</v>
      </c>
      <c r="C53" s="169"/>
      <c r="D53" s="169"/>
      <c r="E53" s="169"/>
      <c r="F53" s="169"/>
      <c r="G53" s="266"/>
      <c r="H53" s="1707">
        <v>0.05</v>
      </c>
      <c r="I53" s="171"/>
      <c r="J53" s="158"/>
      <c r="K53" s="428"/>
    </row>
    <row r="54" spans="2:11" ht="10.5" customHeight="1" x14ac:dyDescent="0.25">
      <c r="B54" s="168" t="s">
        <v>685</v>
      </c>
      <c r="C54" s="169"/>
      <c r="D54" s="169"/>
      <c r="E54" s="169"/>
      <c r="F54" s="169"/>
      <c r="G54" s="266"/>
      <c r="H54" s="1707">
        <v>0.1</v>
      </c>
      <c r="I54" s="171"/>
      <c r="J54" s="158"/>
      <c r="K54" s="428"/>
    </row>
    <row r="55" spans="2:11" ht="10.5" customHeight="1" x14ac:dyDescent="0.25">
      <c r="B55" s="168" t="s">
        <v>1137</v>
      </c>
      <c r="C55" s="169"/>
      <c r="D55" s="169"/>
      <c r="E55" s="169"/>
      <c r="F55" s="169"/>
      <c r="G55" s="266"/>
      <c r="H55" s="263"/>
      <c r="I55" s="171"/>
      <c r="J55" s="158"/>
      <c r="K55" s="428"/>
    </row>
    <row r="56" spans="2:11" ht="10.5" customHeight="1" x14ac:dyDescent="0.25">
      <c r="B56" s="168" t="s">
        <v>686</v>
      </c>
      <c r="C56" s="169"/>
      <c r="D56" s="169"/>
      <c r="E56" s="169"/>
      <c r="F56" s="169"/>
      <c r="G56" s="266"/>
      <c r="H56" s="263"/>
      <c r="I56" s="171"/>
      <c r="J56" s="158"/>
      <c r="K56" s="428"/>
    </row>
    <row r="57" spans="2:11" ht="10.5" customHeight="1" x14ac:dyDescent="0.25">
      <c r="B57" s="168" t="s">
        <v>1224</v>
      </c>
      <c r="C57" s="169"/>
      <c r="D57" s="169"/>
      <c r="E57" s="169"/>
      <c r="F57" s="169"/>
      <c r="G57" s="266"/>
      <c r="H57" s="263"/>
      <c r="I57" s="171"/>
      <c r="J57" s="158"/>
      <c r="K57" s="428"/>
    </row>
    <row r="58" spans="2:11" ht="10.5" customHeight="1" x14ac:dyDescent="0.25">
      <c r="B58" s="168" t="s">
        <v>915</v>
      </c>
      <c r="C58" s="151"/>
      <c r="D58" s="169"/>
      <c r="E58" s="169"/>
      <c r="F58" s="169"/>
      <c r="G58" s="266"/>
      <c r="H58" s="263"/>
      <c r="I58" s="171"/>
      <c r="J58" s="158"/>
      <c r="K58" s="428"/>
    </row>
    <row r="59" spans="2:11" ht="10.5" customHeight="1" x14ac:dyDescent="0.25">
      <c r="B59" s="1610" t="s">
        <v>1280</v>
      </c>
      <c r="C59" s="169"/>
      <c r="D59" s="169"/>
      <c r="E59" s="169"/>
      <c r="F59" s="169"/>
      <c r="G59" s="266"/>
      <c r="H59" s="263"/>
      <c r="I59" s="171"/>
      <c r="J59" s="158"/>
      <c r="K59" s="428"/>
    </row>
    <row r="60" spans="2:11" ht="10.5" customHeight="1" thickBot="1" x14ac:dyDescent="0.3">
      <c r="B60" s="1067" t="s">
        <v>1371</v>
      </c>
      <c r="C60" s="1061"/>
      <c r="D60" s="1061"/>
      <c r="E60" s="1061"/>
      <c r="F60" s="1061"/>
      <c r="G60" s="1062"/>
      <c r="H60" s="1063"/>
      <c r="I60" s="1064"/>
      <c r="J60" s="1065"/>
      <c r="K60" s="1066"/>
    </row>
    <row r="61" spans="2:11" ht="16.2" thickBot="1" x14ac:dyDescent="0.35">
      <c r="B61" s="313" t="s">
        <v>1001</v>
      </c>
      <c r="C61" s="291"/>
      <c r="D61" s="289"/>
      <c r="E61" s="2327">
        <f>('Form "C" Drilling'!$J$60)</f>
        <v>0</v>
      </c>
      <c r="F61" s="2328"/>
      <c r="G61" s="279" t="s">
        <v>622</v>
      </c>
      <c r="H61" s="280"/>
      <c r="I61" s="765"/>
      <c r="J61" s="765"/>
      <c r="K61" s="1263">
        <f>SUM(SUM(K6:K10)+H29+H51)</f>
        <v>0</v>
      </c>
    </row>
    <row r="62" spans="2:11" ht="8.4" customHeight="1" x14ac:dyDescent="0.25"/>
  </sheetData>
  <sheetProtection algorithmName="SHA-512" hashValue="xIBhKV11R/np7m22jnD5+mv34uu+kOR+v1K03EtMxj6hlszJ8M3UuDSyW62SSLjKE1bZS95BJgjOtNG1WZSkbw==" saltValue="zXtN22WcMX3XUvDIFuJaFA==" spinCount="100000" sheet="1" objects="1" scenarios="1" selectLockedCells="1"/>
  <protectedRanges>
    <protectedRange sqref="J5:J7 J9:J10 G14:G16 J12:J16 G24 J19:J24 J26:J31 D30:G30 J33:J34 J36:J39 J41:J50 D47:G49" name="Range3"/>
  </protectedRanges>
  <customSheetViews>
    <customSheetView guid="{BC429C65-53B8-4F97-88D2-74ECCD734800}" showGridLines="0" showRowCol="0" fitToPage="1" hiddenRows="1" state="hidden">
      <pane ySplit="4" topLeftCell="A6" activePane="bottomLeft" state="frozen"/>
      <selection pane="bottomLeft" activeCell="B3" sqref="B3:J3"/>
      <pageMargins left="0.25" right="0.25" top="0.75" bottom="0.75" header="0" footer="0.3"/>
      <printOptions horizontalCentered="1"/>
      <pageSetup scale="94" orientation="portrait" r:id="rId1"/>
      <headerFooter>
        <oddHeader>&amp;RPR</oddHeader>
      </headerFooter>
    </customSheetView>
  </customSheetViews>
  <mergeCells count="7">
    <mergeCell ref="E61:F61"/>
    <mergeCell ref="B32:K32"/>
    <mergeCell ref="B35:K35"/>
    <mergeCell ref="B25:K25"/>
    <mergeCell ref="B3:K3"/>
    <mergeCell ref="B11:K11"/>
    <mergeCell ref="B18:K18"/>
  </mergeCells>
  <phoneticPr fontId="21" type="noConversion"/>
  <dataValidations count="6">
    <dataValidation type="list" allowBlank="1" showErrorMessage="1" prompt="Enter &quot;10&quot; for 10% or &quot;5&quot; for 5%" sqref="J50" xr:uid="{00000000-0002-0000-1100-000000000000}">
      <formula1>$H$53:$H$54</formula1>
    </dataValidation>
    <dataValidation allowBlank="1" showInputMessage="1" showErrorMessage="1" prompt="Quotes required for approval" sqref="G16" xr:uid="{00000000-0002-0000-1100-000001000000}"/>
    <dataValidation type="whole" operator="lessThanOrEqual" allowBlank="1" showInputMessage="1" showErrorMessage="1" error="value must be equal to or less than 450" sqref="J9" xr:uid="{00000000-0002-0000-1100-000002000000}">
      <formula1>450</formula1>
    </dataValidation>
    <dataValidation type="whole" operator="lessThanOrEqual" allowBlank="1" showInputMessage="1" showErrorMessage="1" error="Value must be equal to or less than 450_x000a_" sqref="J6" xr:uid="{00000000-0002-0000-1100-000003000000}">
      <formula1>450</formula1>
    </dataValidation>
    <dataValidation allowBlank="1" showErrorMessage="1" prompt="To change this value, go to &quot;Maximum Allowable Rates&quot;, scroll down to the Drilling Section, enter the current state mileage rate by &quot;Mileage Rate per mile&quot;, second line down." sqref="G6" xr:uid="{00000000-0002-0000-1100-000004000000}"/>
    <dataValidation type="decimal" operator="lessThan" allowBlank="1" showInputMessage="1" showErrorMessage="1" sqref="J5" xr:uid="{00000000-0002-0000-1100-000005000000}">
      <formula1>1</formula1>
    </dataValidation>
  </dataValidations>
  <printOptions horizontalCentered="1"/>
  <pageMargins left="0.5" right="0.5" top="0.5" bottom="0.5" header="0" footer="0"/>
  <pageSetup scale="93" orientation="portrait" r:id="rId2"/>
  <headerFooter>
    <oddHeader>&amp;RPR</oddHeader>
    <oddFooter>&amp;LADEM Form 32 DRAFT&amp;C 2/2025&amp;R*M9 DRAFT</oddFooter>
  </headerFooter>
  <ignoredErrors>
    <ignoredError sqref="K28"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4580" r:id="rId5" name="Button 4">
              <controlPr defaultSize="0" print="0" autoFill="0" autoPict="0" macro="[0]!one">
                <anchor>
                  <from>
                    <xdr:col>0</xdr:col>
                    <xdr:colOff>175260</xdr:colOff>
                    <xdr:row>12</xdr:row>
                    <xdr:rowOff>152400</xdr:rowOff>
                  </from>
                  <to>
                    <xdr:col>0</xdr:col>
                    <xdr:colOff>792480</xdr:colOff>
                    <xdr:row>16</xdr:row>
                    <xdr:rowOff>30480</xdr:rowOff>
                  </to>
                </anchor>
              </controlPr>
            </control>
          </mc:Choice>
        </mc:AlternateContent>
        <mc:AlternateContent xmlns:mc="http://schemas.openxmlformats.org/markup-compatibility/2006">
          <mc:Choice Requires="x14">
            <control shapeId="24581" r:id="rId6" name="Button 5">
              <controlPr defaultSize="0" print="0" autoFill="0" autoPict="0" macro="[0]!deleteprcinputs">
                <anchor>
                  <from>
                    <xdr:col>0</xdr:col>
                    <xdr:colOff>144780</xdr:colOff>
                    <xdr:row>17</xdr:row>
                    <xdr:rowOff>60960</xdr:rowOff>
                  </from>
                  <to>
                    <xdr:col>0</xdr:col>
                    <xdr:colOff>822960</xdr:colOff>
                    <xdr:row>21</xdr:row>
                    <xdr:rowOff>45720</xdr:rowOff>
                  </to>
                </anchor>
              </controlPr>
            </control>
          </mc:Choice>
        </mc:AlternateContent>
        <mc:AlternateContent xmlns:mc="http://schemas.openxmlformats.org/markup-compatibility/2006">
          <mc:Choice Requires="x14">
            <control shapeId="24582" r:id="rId7" name="Button 6">
              <controlPr defaultSize="0" print="0" autoFill="0" autoPict="0" macro="[0]!nine">
                <anchor>
                  <from>
                    <xdr:col>0</xdr:col>
                    <xdr:colOff>137160</xdr:colOff>
                    <xdr:row>22</xdr:row>
                    <xdr:rowOff>68580</xdr:rowOff>
                  </from>
                  <to>
                    <xdr:col>0</xdr:col>
                    <xdr:colOff>830580</xdr:colOff>
                    <xdr:row>26</xdr:row>
                    <xdr:rowOff>60960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2">
    <tabColor rgb="FFFF7C80"/>
  </sheetPr>
  <dimension ref="A1:L56"/>
  <sheetViews>
    <sheetView showGridLines="0" showRowColHeaders="0" zoomScale="110" zoomScaleNormal="110" workbookViewId="0">
      <pane xSplit="1" ySplit="6" topLeftCell="B7" activePane="bottomRight" state="frozen"/>
      <selection activeCell="F5" sqref="B5:J10"/>
      <selection pane="topRight" activeCell="F5" sqref="B5:J10"/>
      <selection pane="bottomLeft" activeCell="F5" sqref="B5:J10"/>
      <selection pane="bottomRight" activeCell="F5" sqref="B5:J10"/>
    </sheetView>
  </sheetViews>
  <sheetFormatPr defaultColWidth="11.44140625" defaultRowHeight="15" x14ac:dyDescent="0.25"/>
  <cols>
    <col min="1" max="1" width="13.6640625" style="203" customWidth="1"/>
    <col min="2" max="3" width="11.44140625" style="204" customWidth="1"/>
    <col min="4" max="4" width="13.33203125" style="204" customWidth="1"/>
    <col min="5" max="5" width="6.33203125" style="204" customWidth="1"/>
    <col min="6" max="6" width="3.33203125" style="204" customWidth="1"/>
    <col min="7" max="7" width="7.109375" style="204" customWidth="1"/>
    <col min="8" max="8" width="11.33203125" style="227" customWidth="1"/>
    <col min="9" max="9" width="10.88671875" style="227" customWidth="1"/>
    <col min="10" max="10" width="7.5546875" style="229" customWidth="1"/>
    <col min="11" max="11" width="14.88671875" style="229" customWidth="1"/>
    <col min="12" max="16384" width="11.44140625" style="204"/>
  </cols>
  <sheetData>
    <row r="1" spans="1:11" ht="19.2" customHeight="1" thickBot="1" x14ac:dyDescent="0.3">
      <c r="J1" s="227"/>
    </row>
    <row r="2" spans="1:11" ht="22.5" customHeight="1" thickBot="1" x14ac:dyDescent="0.3">
      <c r="B2" s="288" t="s">
        <v>870</v>
      </c>
      <c r="C2" s="289"/>
      <c r="D2" s="289"/>
      <c r="E2" s="289"/>
      <c r="F2" s="289"/>
      <c r="G2" s="289"/>
      <c r="H2" s="289"/>
      <c r="I2" s="289"/>
      <c r="J2" s="289"/>
      <c r="K2" s="421"/>
    </row>
    <row r="3" spans="1:11" ht="22.5" customHeight="1" thickBot="1" x14ac:dyDescent="0.3">
      <c r="B3" s="220" t="s">
        <v>1004</v>
      </c>
      <c r="C3" s="299"/>
      <c r="D3" s="299"/>
      <c r="E3" s="299"/>
      <c r="F3" s="299"/>
      <c r="G3" s="299"/>
      <c r="H3" s="299"/>
      <c r="I3" s="299"/>
      <c r="J3" s="299"/>
      <c r="K3" s="422"/>
    </row>
    <row r="4" spans="1:11" ht="15.6" customHeight="1" thickBot="1" x14ac:dyDescent="0.3">
      <c r="B4" s="300" t="s">
        <v>880</v>
      </c>
      <c r="C4" s="301"/>
      <c r="D4" s="301"/>
      <c r="E4" s="301"/>
      <c r="F4" s="301"/>
      <c r="G4" s="301"/>
      <c r="H4" s="301"/>
      <c r="I4" s="301"/>
      <c r="J4" s="301"/>
      <c r="K4" s="423"/>
    </row>
    <row r="5" spans="1:11" ht="15" customHeight="1" x14ac:dyDescent="0.25">
      <c r="B5" s="210"/>
      <c r="C5" s="211"/>
      <c r="D5" s="211"/>
      <c r="E5" s="211"/>
      <c r="F5" s="211"/>
      <c r="G5" s="274"/>
      <c r="H5" s="257"/>
      <c r="I5" s="297"/>
      <c r="J5" s="298"/>
      <c r="K5" s="424"/>
    </row>
    <row r="6" spans="1:11" ht="46.95" customHeight="1" x14ac:dyDescent="0.25">
      <c r="B6" s="205"/>
      <c r="C6" s="206"/>
      <c r="D6" s="206"/>
      <c r="E6" s="206"/>
      <c r="F6" s="206"/>
      <c r="G6" s="275"/>
      <c r="H6" s="680" t="s">
        <v>1124</v>
      </c>
      <c r="I6" s="681" t="s">
        <v>968</v>
      </c>
      <c r="J6" s="680" t="s">
        <v>959</v>
      </c>
      <c r="K6" s="682" t="s">
        <v>967</v>
      </c>
    </row>
    <row r="7" spans="1:11" s="105" customFormat="1" ht="18" customHeight="1" x14ac:dyDescent="0.25">
      <c r="A7" s="173"/>
      <c r="B7" s="804" t="s">
        <v>1210</v>
      </c>
      <c r="C7" s="805"/>
      <c r="D7" s="805"/>
      <c r="E7" s="805"/>
      <c r="F7" s="805"/>
      <c r="G7" s="153"/>
      <c r="H7" s="1163" t="str">
        <f>IF('Form "D" Other'!J7&lt;1,"",'Form "D" Other'!J7)</f>
        <v/>
      </c>
      <c r="I7" s="1164"/>
      <c r="J7" s="987"/>
      <c r="K7" s="1256" t="str">
        <f>IF(I7&lt;1,"",IF(J7="",I7,(I7*(1+J7))))</f>
        <v/>
      </c>
    </row>
    <row r="8" spans="1:11" s="105" customFormat="1" ht="18" customHeight="1" x14ac:dyDescent="0.25">
      <c r="A8" s="173"/>
      <c r="B8" s="804" t="s">
        <v>1211</v>
      </c>
      <c r="C8" s="805"/>
      <c r="D8" s="805"/>
      <c r="E8" s="805"/>
      <c r="F8" s="805"/>
      <c r="G8" s="153"/>
      <c r="H8" s="1165" t="str">
        <f>IF('Form "D" Other'!J8&lt;1,"",'Form "D" Other'!J8)</f>
        <v/>
      </c>
      <c r="I8" s="1164"/>
      <c r="J8" s="987"/>
      <c r="K8" s="1256" t="str">
        <f t="shared" ref="K8:K53" si="0">IF(I8&lt;1,"",IF(J8="",I8,(I8*(1+J8))))</f>
        <v/>
      </c>
    </row>
    <row r="9" spans="1:11" s="105" customFormat="1" ht="18" customHeight="1" x14ac:dyDescent="0.25">
      <c r="A9" s="173"/>
      <c r="B9" s="804" t="s">
        <v>1212</v>
      </c>
      <c r="C9" s="805"/>
      <c r="D9" s="805"/>
      <c r="E9" s="805"/>
      <c r="F9" s="805"/>
      <c r="G9" s="153"/>
      <c r="H9" s="1165" t="str">
        <f>IF('Form "D" Other'!J9&lt;1,"",'Form "D" Other'!J9)</f>
        <v/>
      </c>
      <c r="I9" s="1164"/>
      <c r="J9" s="987"/>
      <c r="K9" s="1256" t="str">
        <f t="shared" si="0"/>
        <v/>
      </c>
    </row>
    <row r="10" spans="1:11" s="105" customFormat="1" ht="18" customHeight="1" x14ac:dyDescent="0.25">
      <c r="A10" s="173"/>
      <c r="B10" s="804" t="s">
        <v>876</v>
      </c>
      <c r="C10" s="805"/>
      <c r="D10" s="805"/>
      <c r="E10" s="805"/>
      <c r="F10" s="805"/>
      <c r="G10" s="153"/>
      <c r="H10" s="1165" t="str">
        <f>IF('Form "D" Other'!J10&lt;1,"",'Form "D" Other'!J10)</f>
        <v/>
      </c>
      <c r="I10" s="1164"/>
      <c r="J10" s="987"/>
      <c r="K10" s="1256" t="str">
        <f t="shared" si="0"/>
        <v/>
      </c>
    </row>
    <row r="11" spans="1:11" s="105" customFormat="1" ht="18" customHeight="1" x14ac:dyDescent="0.25">
      <c r="A11" s="173"/>
      <c r="B11" s="154" t="s">
        <v>792</v>
      </c>
      <c r="C11" s="151"/>
      <c r="D11" s="151"/>
      <c r="E11" s="151"/>
      <c r="F11" s="151"/>
      <c r="G11" s="290"/>
      <c r="H11" s="1165" t="str">
        <f>IF('Form "D" Other'!J11&lt;1,"",'Form "D" Other'!J11)</f>
        <v/>
      </c>
      <c r="I11" s="1166"/>
      <c r="J11" s="987"/>
      <c r="K11" s="1256" t="str">
        <f t="shared" si="0"/>
        <v/>
      </c>
    </row>
    <row r="12" spans="1:11" s="105" customFormat="1" ht="18" customHeight="1" x14ac:dyDescent="0.25">
      <c r="A12" s="173"/>
      <c r="B12" s="804" t="s">
        <v>830</v>
      </c>
      <c r="C12" s="805"/>
      <c r="D12" s="805"/>
      <c r="E12" s="805"/>
      <c r="F12" s="805"/>
      <c r="G12" s="806"/>
      <c r="H12" s="1165" t="str">
        <f>IF('Form "D" Other'!J12&lt;1,"",'Form "D" Other'!J12)</f>
        <v/>
      </c>
      <c r="I12" s="1166"/>
      <c r="J12" s="987"/>
      <c r="K12" s="1256" t="str">
        <f t="shared" si="0"/>
        <v/>
      </c>
    </row>
    <row r="13" spans="1:11" s="105" customFormat="1" ht="18" customHeight="1" x14ac:dyDescent="0.25">
      <c r="A13" s="173"/>
      <c r="B13" s="154" t="s">
        <v>1014</v>
      </c>
      <c r="C13" s="151"/>
      <c r="D13" s="151"/>
      <c r="E13" s="151"/>
      <c r="F13" s="151"/>
      <c r="G13" s="290"/>
      <c r="H13" s="1165" t="str">
        <f>IF('Form "D" Other'!J13&lt;1,"",'Form "D" Other'!J13)</f>
        <v/>
      </c>
      <c r="I13" s="1166"/>
      <c r="J13" s="987"/>
      <c r="K13" s="1256" t="str">
        <f t="shared" si="0"/>
        <v/>
      </c>
    </row>
    <row r="14" spans="1:11" s="105" customFormat="1" ht="18" customHeight="1" x14ac:dyDescent="0.25">
      <c r="A14" s="173"/>
      <c r="B14" s="154" t="s">
        <v>1016</v>
      </c>
      <c r="C14" s="151"/>
      <c r="D14" s="151"/>
      <c r="E14" s="151"/>
      <c r="F14" s="151"/>
      <c r="G14" s="290"/>
      <c r="H14" s="1165" t="str">
        <f>IF('Form "D" Other'!J14&lt;1,"",'Form "D" Other'!J14)</f>
        <v/>
      </c>
      <c r="I14" s="1166"/>
      <c r="J14" s="987"/>
      <c r="K14" s="1256" t="str">
        <f t="shared" si="0"/>
        <v/>
      </c>
    </row>
    <row r="15" spans="1:11" s="105" customFormat="1" ht="18" customHeight="1" x14ac:dyDescent="0.25">
      <c r="A15" s="173"/>
      <c r="B15" s="154" t="s">
        <v>618</v>
      </c>
      <c r="C15" s="151"/>
      <c r="D15" s="151"/>
      <c r="E15" s="151"/>
      <c r="F15" s="151"/>
      <c r="G15" s="290"/>
      <c r="H15" s="1165" t="str">
        <f>IF('Form "D" Other'!J15&lt;1,"",'Form "D" Other'!J15)</f>
        <v/>
      </c>
      <c r="I15" s="1166"/>
      <c r="J15" s="987"/>
      <c r="K15" s="1256" t="str">
        <f t="shared" si="0"/>
        <v/>
      </c>
    </row>
    <row r="16" spans="1:11" s="105" customFormat="1" ht="18" customHeight="1" x14ac:dyDescent="0.25">
      <c r="A16" s="173"/>
      <c r="B16" s="154" t="s">
        <v>243</v>
      </c>
      <c r="C16" s="151"/>
      <c r="D16" s="151"/>
      <c r="E16" s="151"/>
      <c r="F16" s="151"/>
      <c r="G16" s="290"/>
      <c r="H16" s="1165" t="str">
        <f>IF('Form "D" Other'!J16&lt;1,"",'Form "D" Other'!J16)</f>
        <v/>
      </c>
      <c r="I16" s="1166"/>
      <c r="J16" s="987"/>
      <c r="K16" s="1256" t="str">
        <f t="shared" si="0"/>
        <v/>
      </c>
    </row>
    <row r="17" spans="1:12" s="105" customFormat="1" ht="18" customHeight="1" x14ac:dyDescent="0.25">
      <c r="A17" s="173"/>
      <c r="B17" s="154" t="s">
        <v>882</v>
      </c>
      <c r="C17" s="151"/>
      <c r="D17" s="151"/>
      <c r="E17" s="151"/>
      <c r="F17" s="151"/>
      <c r="G17" s="290"/>
      <c r="H17" s="1165" t="str">
        <f>IF('Form "D" Other'!J17&lt;1,"",'Form "D" Other'!J17)</f>
        <v/>
      </c>
      <c r="I17" s="1166"/>
      <c r="J17" s="987"/>
      <c r="K17" s="1256" t="str">
        <f t="shared" si="0"/>
        <v/>
      </c>
    </row>
    <row r="18" spans="1:12" s="105" customFormat="1" ht="18" customHeight="1" x14ac:dyDescent="0.25">
      <c r="A18" s="173"/>
      <c r="B18" s="154" t="s">
        <v>883</v>
      </c>
      <c r="C18" s="151"/>
      <c r="D18" s="151"/>
      <c r="E18" s="151"/>
      <c r="F18" s="151"/>
      <c r="G18" s="290"/>
      <c r="H18" s="1165" t="str">
        <f>IF('Form "D" Other'!J18&lt;1,"",'Form "D" Other'!J18)</f>
        <v/>
      </c>
      <c r="I18" s="1166"/>
      <c r="J18" s="987"/>
      <c r="K18" s="1256" t="str">
        <f t="shared" si="0"/>
        <v/>
      </c>
    </row>
    <row r="19" spans="1:12" s="105" customFormat="1" ht="18" customHeight="1" x14ac:dyDescent="0.25">
      <c r="A19" s="173"/>
      <c r="B19" s="154" t="s">
        <v>884</v>
      </c>
      <c r="C19" s="151"/>
      <c r="D19" s="151"/>
      <c r="E19" s="151"/>
      <c r="F19" s="151"/>
      <c r="G19" s="290"/>
      <c r="H19" s="1165" t="str">
        <f>IF('Form "D" Other'!J19&lt;1,"",'Form "D" Other'!J19)</f>
        <v/>
      </c>
      <c r="I19" s="1166"/>
      <c r="J19" s="987"/>
      <c r="K19" s="1256" t="str">
        <f t="shared" si="0"/>
        <v/>
      </c>
    </row>
    <row r="20" spans="1:12" s="105" customFormat="1" ht="18" customHeight="1" x14ac:dyDescent="0.25">
      <c r="A20" s="173"/>
      <c r="B20" s="154" t="s">
        <v>86</v>
      </c>
      <c r="C20" s="151"/>
      <c r="D20" s="151"/>
      <c r="E20" s="151"/>
      <c r="F20" s="151"/>
      <c r="G20" s="290"/>
      <c r="H20" s="1165" t="str">
        <f>IF('Form "D" Other'!J20&lt;1,"",'Form "D" Other'!J20)</f>
        <v/>
      </c>
      <c r="I20" s="1166"/>
      <c r="J20" s="987"/>
      <c r="K20" s="1256" t="str">
        <f t="shared" si="0"/>
        <v/>
      </c>
    </row>
    <row r="21" spans="1:12" s="105" customFormat="1" ht="18" customHeight="1" x14ac:dyDescent="0.25">
      <c r="A21" s="173"/>
      <c r="B21" s="154" t="s">
        <v>220</v>
      </c>
      <c r="C21" s="151"/>
      <c r="D21" s="151"/>
      <c r="E21" s="151"/>
      <c r="F21" s="151"/>
      <c r="G21" s="290"/>
      <c r="H21" s="1165" t="str">
        <f>IF('Form "D" Other'!J21&lt;1,"",'Form "D" Other'!J21)</f>
        <v/>
      </c>
      <c r="I21" s="1166"/>
      <c r="J21" s="987"/>
      <c r="K21" s="1256" t="str">
        <f t="shared" si="0"/>
        <v/>
      </c>
    </row>
    <row r="22" spans="1:12" s="105" customFormat="1" ht="18" customHeight="1" x14ac:dyDescent="0.25">
      <c r="A22" s="173"/>
      <c r="B22" s="154" t="s">
        <v>793</v>
      </c>
      <c r="C22" s="151"/>
      <c r="D22" s="151"/>
      <c r="E22" s="151"/>
      <c r="F22" s="151"/>
      <c r="G22" s="290"/>
      <c r="H22" s="1165" t="str">
        <f>IF('Form "D" Other'!J22&lt;1,"",'Form "D" Other'!J22)</f>
        <v/>
      </c>
      <c r="I22" s="1166"/>
      <c r="J22" s="987"/>
      <c r="K22" s="1256" t="str">
        <f t="shared" si="0"/>
        <v/>
      </c>
    </row>
    <row r="23" spans="1:12" s="105" customFormat="1" ht="18" customHeight="1" x14ac:dyDescent="0.25">
      <c r="A23" s="173"/>
      <c r="B23" s="154" t="s">
        <v>518</v>
      </c>
      <c r="C23" s="151"/>
      <c r="D23" s="151"/>
      <c r="E23" s="151"/>
      <c r="F23" s="151"/>
      <c r="G23" s="290"/>
      <c r="H23" s="1165" t="str">
        <f>IF('Form "D" Other'!J23&lt;1,"",'Form "D" Other'!J23)</f>
        <v/>
      </c>
      <c r="I23" s="1166"/>
      <c r="J23" s="987"/>
      <c r="K23" s="1256" t="str">
        <f t="shared" si="0"/>
        <v/>
      </c>
    </row>
    <row r="24" spans="1:12" s="105" customFormat="1" ht="18" customHeight="1" x14ac:dyDescent="0.25">
      <c r="A24" s="173"/>
      <c r="B24" s="154" t="s">
        <v>221</v>
      </c>
      <c r="C24" s="151"/>
      <c r="D24" s="151"/>
      <c r="E24" s="151"/>
      <c r="F24" s="151"/>
      <c r="G24" s="290"/>
      <c r="H24" s="1165" t="str">
        <f>IF('Form "D" Other'!J24&lt;1,"",'Form "D" Other'!J24)</f>
        <v/>
      </c>
      <c r="I24" s="1166"/>
      <c r="J24" s="987"/>
      <c r="K24" s="1256" t="str">
        <f t="shared" si="0"/>
        <v/>
      </c>
    </row>
    <row r="25" spans="1:12" s="105" customFormat="1" ht="18" customHeight="1" x14ac:dyDescent="0.25">
      <c r="A25" s="173"/>
      <c r="B25" s="154" t="s">
        <v>609</v>
      </c>
      <c r="C25" s="151"/>
      <c r="D25" s="374"/>
      <c r="E25" s="151"/>
      <c r="F25" s="151"/>
      <c r="G25" s="290"/>
      <c r="H25" s="1165" t="str">
        <f>IF('Form "D" Other'!J25&lt;1,"",'Form "D" Other'!J25)</f>
        <v/>
      </c>
      <c r="I25" s="1166"/>
      <c r="J25" s="987"/>
      <c r="K25" s="1256" t="str">
        <f t="shared" si="0"/>
        <v/>
      </c>
    </row>
    <row r="26" spans="1:12" s="105" customFormat="1" ht="18" customHeight="1" x14ac:dyDescent="0.25">
      <c r="A26" s="173"/>
      <c r="B26" s="154" t="s">
        <v>222</v>
      </c>
      <c r="C26" s="992"/>
      <c r="D26" s="993"/>
      <c r="E26" s="993"/>
      <c r="F26" s="993"/>
      <c r="G26" s="994"/>
      <c r="H26" s="1165" t="str">
        <f>IF('Form "D" Other'!J26&lt;1,"",'Form "D" Other'!J26)</f>
        <v/>
      </c>
      <c r="I26" s="1166"/>
      <c r="J26" s="987"/>
      <c r="K26" s="1256" t="str">
        <f t="shared" si="0"/>
        <v/>
      </c>
    </row>
    <row r="27" spans="1:12" s="105" customFormat="1" ht="18" customHeight="1" x14ac:dyDescent="0.25">
      <c r="A27" s="173"/>
      <c r="B27" s="154" t="s">
        <v>222</v>
      </c>
      <c r="C27" s="992"/>
      <c r="D27" s="993"/>
      <c r="E27" s="993"/>
      <c r="F27" s="993"/>
      <c r="G27" s="994"/>
      <c r="H27" s="1165" t="str">
        <f>IF('Form "D" Other'!J27&lt;1,"",'Form "D" Other'!J27)</f>
        <v/>
      </c>
      <c r="I27" s="1166"/>
      <c r="J27" s="987"/>
      <c r="K27" s="1256" t="str">
        <f t="shared" si="0"/>
        <v/>
      </c>
    </row>
    <row r="28" spans="1:12" s="105" customFormat="1" ht="18" customHeight="1" x14ac:dyDescent="0.25">
      <c r="A28" s="173"/>
      <c r="B28" s="154" t="s">
        <v>222</v>
      </c>
      <c r="C28" s="992"/>
      <c r="D28" s="993"/>
      <c r="E28" s="993"/>
      <c r="F28" s="993"/>
      <c r="G28" s="994"/>
      <c r="H28" s="1165" t="str">
        <f>IF('Form "D" Other'!J28&lt;1,"",'Form "D" Other'!J28)</f>
        <v/>
      </c>
      <c r="I28" s="1166"/>
      <c r="J28" s="987"/>
      <c r="K28" s="1256" t="str">
        <f t="shared" si="0"/>
        <v/>
      </c>
      <c r="L28" s="329">
        <v>0.05</v>
      </c>
    </row>
    <row r="29" spans="1:12" s="105" customFormat="1" ht="18" customHeight="1" x14ac:dyDescent="0.25">
      <c r="A29" s="173"/>
      <c r="B29" s="154" t="s">
        <v>222</v>
      </c>
      <c r="C29" s="992"/>
      <c r="D29" s="993"/>
      <c r="E29" s="993"/>
      <c r="F29" s="993"/>
      <c r="G29" s="994"/>
      <c r="H29" s="1165" t="str">
        <f>IF('Form "D" Other'!J29&lt;1,"",'Form "D" Other'!J29)</f>
        <v/>
      </c>
      <c r="I29" s="1166"/>
      <c r="J29" s="987"/>
      <c r="K29" s="1256" t="str">
        <f t="shared" si="0"/>
        <v/>
      </c>
      <c r="L29" s="329">
        <v>0.1</v>
      </c>
    </row>
    <row r="30" spans="1:12" s="105" customFormat="1" ht="18" customHeight="1" x14ac:dyDescent="0.25">
      <c r="A30" s="173"/>
      <c r="B30" s="154" t="s">
        <v>498</v>
      </c>
      <c r="C30" s="151"/>
      <c r="D30" s="151"/>
      <c r="E30" s="151"/>
      <c r="F30" s="151"/>
      <c r="G30" s="290"/>
      <c r="H30" s="1165" t="str">
        <f>IF('Form "D" Other'!J30&lt;1,"",'Form "D" Other'!J30)</f>
        <v/>
      </c>
      <c r="I30" s="1166"/>
      <c r="J30" s="987"/>
      <c r="K30" s="1256" t="str">
        <f t="shared" si="0"/>
        <v/>
      </c>
    </row>
    <row r="31" spans="1:12" s="105" customFormat="1" ht="18" customHeight="1" x14ac:dyDescent="0.25">
      <c r="A31" s="173"/>
      <c r="B31" s="154" t="s">
        <v>624</v>
      </c>
      <c r="C31" s="151"/>
      <c r="D31" s="151"/>
      <c r="E31" s="151"/>
      <c r="F31" s="151"/>
      <c r="G31" s="805"/>
      <c r="H31" s="1165" t="str">
        <f>IF('Form "D" Other'!J31&lt;1,"",'Form "D" Other'!J31)</f>
        <v/>
      </c>
      <c r="I31" s="1166"/>
      <c r="J31" s="987"/>
      <c r="K31" s="1256" t="str">
        <f t="shared" si="0"/>
        <v/>
      </c>
    </row>
    <row r="32" spans="1:12" s="105" customFormat="1" ht="18" customHeight="1" x14ac:dyDescent="0.25">
      <c r="A32" s="173"/>
      <c r="B32" s="154" t="s">
        <v>982</v>
      </c>
      <c r="C32" s="151"/>
      <c r="D32" s="151"/>
      <c r="E32" s="151"/>
      <c r="F32" s="151"/>
      <c r="G32" s="290"/>
      <c r="H32" s="1165" t="str">
        <f>IF('Form "D" Other'!J32&lt;1,"",'Form "D" Other'!J32)</f>
        <v/>
      </c>
      <c r="I32" s="1166"/>
      <c r="J32" s="987"/>
      <c r="K32" s="1256" t="str">
        <f t="shared" si="0"/>
        <v/>
      </c>
    </row>
    <row r="33" spans="1:11" s="105" customFormat="1" ht="18" customHeight="1" x14ac:dyDescent="0.25">
      <c r="A33" s="173"/>
      <c r="B33" s="154" t="s">
        <v>794</v>
      </c>
      <c r="C33" s="151"/>
      <c r="D33" s="151"/>
      <c r="E33" s="151"/>
      <c r="F33" s="151"/>
      <c r="G33" s="290"/>
      <c r="H33" s="1165" t="str">
        <f>IF('Form "D" Other'!J33&lt;1,"",'Form "D" Other'!J33)</f>
        <v/>
      </c>
      <c r="I33" s="1166"/>
      <c r="J33" s="987"/>
      <c r="K33" s="1256" t="str">
        <f t="shared" si="0"/>
        <v/>
      </c>
    </row>
    <row r="34" spans="1:11" s="105" customFormat="1" ht="18" customHeight="1" x14ac:dyDescent="0.25">
      <c r="A34" s="173"/>
      <c r="B34" s="804" t="s">
        <v>831</v>
      </c>
      <c r="C34" s="805"/>
      <c r="D34" s="805"/>
      <c r="E34" s="805"/>
      <c r="F34" s="805"/>
      <c r="G34" s="290"/>
      <c r="H34" s="1165" t="str">
        <f>IF('Form "D" Other'!J34&lt;1,"",'Form "D" Other'!J34)</f>
        <v/>
      </c>
      <c r="I34" s="1166"/>
      <c r="J34" s="987"/>
      <c r="K34" s="1256" t="str">
        <f t="shared" si="0"/>
        <v/>
      </c>
    </row>
    <row r="35" spans="1:11" s="105" customFormat="1" ht="18" customHeight="1" x14ac:dyDescent="0.25">
      <c r="A35" s="173"/>
      <c r="B35" s="154" t="s">
        <v>1213</v>
      </c>
      <c r="C35" s="151"/>
      <c r="D35" s="151"/>
      <c r="E35" s="151"/>
      <c r="F35" s="151"/>
      <c r="G35" s="290"/>
      <c r="H35" s="1165" t="str">
        <f>IF('Form "D" Other'!J35&lt;1,"",'Form "D" Other'!J35)</f>
        <v/>
      </c>
      <c r="I35" s="1166"/>
      <c r="J35" s="987"/>
      <c r="K35" s="1256" t="str">
        <f t="shared" si="0"/>
        <v/>
      </c>
    </row>
    <row r="36" spans="1:11" s="105" customFormat="1" ht="18" customHeight="1" x14ac:dyDescent="0.25">
      <c r="A36" s="173"/>
      <c r="B36" s="154" t="s">
        <v>825</v>
      </c>
      <c r="C36" s="151"/>
      <c r="D36" s="151"/>
      <c r="E36" s="151"/>
      <c r="F36" s="151"/>
      <c r="G36" s="290"/>
      <c r="H36" s="1165" t="str">
        <f>IF('Form "D" Other'!J36&lt;1,"",'Form "D" Other'!J36)</f>
        <v/>
      </c>
      <c r="I36" s="1166"/>
      <c r="J36" s="987"/>
      <c r="K36" s="1256" t="str">
        <f t="shared" si="0"/>
        <v/>
      </c>
    </row>
    <row r="37" spans="1:11" s="105" customFormat="1" ht="18" customHeight="1" x14ac:dyDescent="0.25">
      <c r="A37" s="173"/>
      <c r="B37" s="154" t="s">
        <v>1022</v>
      </c>
      <c r="C37" s="151"/>
      <c r="D37" s="151"/>
      <c r="E37" s="151"/>
      <c r="F37" s="151"/>
      <c r="G37" s="290"/>
      <c r="H37" s="1165" t="str">
        <f>IF('Form "D" Other'!J37&lt;1,"",'Form "D" Other'!J37)</f>
        <v/>
      </c>
      <c r="I37" s="1166"/>
      <c r="J37" s="987"/>
      <c r="K37" s="1256" t="str">
        <f t="shared" si="0"/>
        <v/>
      </c>
    </row>
    <row r="38" spans="1:11" s="105" customFormat="1" ht="18" customHeight="1" x14ac:dyDescent="0.25">
      <c r="A38" s="173"/>
      <c r="B38" s="154" t="s">
        <v>770</v>
      </c>
      <c r="C38" s="151"/>
      <c r="D38" s="151"/>
      <c r="E38" s="151"/>
      <c r="F38" s="151"/>
      <c r="G38" s="290"/>
      <c r="H38" s="1165" t="str">
        <f>IF('Form "D" Other'!J38&lt;1,"",'Form "D" Other'!J38)</f>
        <v/>
      </c>
      <c r="I38" s="1166"/>
      <c r="J38" s="987"/>
      <c r="K38" s="1256" t="str">
        <f t="shared" si="0"/>
        <v/>
      </c>
    </row>
    <row r="39" spans="1:11" s="105" customFormat="1" ht="18" customHeight="1" x14ac:dyDescent="0.25">
      <c r="A39" s="173"/>
      <c r="B39" s="154" t="s">
        <v>770</v>
      </c>
      <c r="C39" s="151"/>
      <c r="D39" s="151"/>
      <c r="E39" s="151"/>
      <c r="F39" s="151"/>
      <c r="G39" s="290"/>
      <c r="H39" s="1165" t="str">
        <f>IF('Form "D" Other'!J39&lt;1,"",'Form "D" Other'!J39)</f>
        <v/>
      </c>
      <c r="I39" s="1166"/>
      <c r="J39" s="987"/>
      <c r="K39" s="1256" t="str">
        <f t="shared" si="0"/>
        <v/>
      </c>
    </row>
    <row r="40" spans="1:11" s="105" customFormat="1" ht="18" customHeight="1" x14ac:dyDescent="0.25">
      <c r="A40" s="173"/>
      <c r="B40" s="154" t="s">
        <v>770</v>
      </c>
      <c r="C40" s="151"/>
      <c r="D40" s="151"/>
      <c r="E40" s="151"/>
      <c r="F40" s="151"/>
      <c r="G40" s="151"/>
      <c r="H40" s="1165" t="str">
        <f>IF('Form "D" Other'!J40&lt;1,"",'Form "D" Other'!J40)</f>
        <v/>
      </c>
      <c r="I40" s="1164"/>
      <c r="J40" s="987"/>
      <c r="K40" s="1256" t="str">
        <f t="shared" si="0"/>
        <v/>
      </c>
    </row>
    <row r="41" spans="1:11" s="105" customFormat="1" ht="18" customHeight="1" x14ac:dyDescent="0.25">
      <c r="A41" s="173"/>
      <c r="B41" s="154" t="s">
        <v>770</v>
      </c>
      <c r="C41" s="151"/>
      <c r="D41" s="151"/>
      <c r="E41" s="151"/>
      <c r="F41" s="151"/>
      <c r="G41" s="151"/>
      <c r="H41" s="1357" t="str">
        <f>IF('Form "D" Other'!J41&lt;1,"",'Form "D" Other'!J41)</f>
        <v/>
      </c>
      <c r="I41" s="1358"/>
      <c r="J41" s="1359"/>
      <c r="K41" s="1256" t="str">
        <f t="shared" si="0"/>
        <v/>
      </c>
    </row>
    <row r="42" spans="1:11" s="105" customFormat="1" ht="18" customHeight="1" thickBot="1" x14ac:dyDescent="0.3">
      <c r="A42" s="173"/>
      <c r="B42" s="155" t="s">
        <v>770</v>
      </c>
      <c r="C42" s="157"/>
      <c r="D42" s="157"/>
      <c r="E42" s="157"/>
      <c r="F42" s="157"/>
      <c r="G42" s="1360"/>
      <c r="H42" s="1361" t="str">
        <f>IF('Form "D" Other'!J42&lt;1,"",'Form "D" Other'!J42)</f>
        <v/>
      </c>
      <c r="I42" s="1167"/>
      <c r="J42" s="988"/>
      <c r="K42" s="1362" t="str">
        <f t="shared" si="0"/>
        <v/>
      </c>
    </row>
    <row r="43" spans="1:11" s="105" customFormat="1" ht="18" customHeight="1" x14ac:dyDescent="0.25">
      <c r="A43" s="173"/>
      <c r="B43" s="1141" t="s">
        <v>1222</v>
      </c>
      <c r="C43" s="197"/>
      <c r="D43" s="1363"/>
      <c r="E43" s="1364"/>
      <c r="F43" s="1364"/>
      <c r="G43" s="1365"/>
      <c r="H43" s="1366" t="str">
        <f>IF('Form "D" Other'!J43&lt;1,"",'Form "D" Other'!J43)</f>
        <v/>
      </c>
      <c r="I43" s="1367"/>
      <c r="J43" s="1368"/>
      <c r="K43" s="1262" t="str">
        <f t="shared" si="0"/>
        <v/>
      </c>
    </row>
    <row r="44" spans="1:11" s="105" customFormat="1" ht="18" customHeight="1" x14ac:dyDescent="0.25">
      <c r="A44" s="173"/>
      <c r="B44" s="154" t="s">
        <v>1222</v>
      </c>
      <c r="C44" s="151"/>
      <c r="D44" s="989"/>
      <c r="E44" s="990"/>
      <c r="F44" s="990"/>
      <c r="G44" s="991"/>
      <c r="H44" s="1165" t="str">
        <f>IF('Form "D" Other'!J44&lt;1,"",'Form "D" Other'!J44)</f>
        <v/>
      </c>
      <c r="I44" s="1164"/>
      <c r="J44" s="987"/>
      <c r="K44" s="1256" t="str">
        <f t="shared" si="0"/>
        <v/>
      </c>
    </row>
    <row r="45" spans="1:11" s="105" customFormat="1" ht="18" customHeight="1" x14ac:dyDescent="0.25">
      <c r="A45" s="173"/>
      <c r="B45" s="154" t="s">
        <v>1222</v>
      </c>
      <c r="C45" s="151"/>
      <c r="D45" s="989"/>
      <c r="E45" s="990"/>
      <c r="F45" s="990"/>
      <c r="G45" s="991"/>
      <c r="H45" s="1165" t="str">
        <f>IF('Form "D" Other'!J45&lt;1,"",'Form "D" Other'!J45)</f>
        <v/>
      </c>
      <c r="I45" s="1164"/>
      <c r="J45" s="987"/>
      <c r="K45" s="1256" t="str">
        <f t="shared" si="0"/>
        <v/>
      </c>
    </row>
    <row r="46" spans="1:11" s="105" customFormat="1" ht="18" customHeight="1" x14ac:dyDescent="0.25">
      <c r="A46" s="173"/>
      <c r="B46" s="154" t="s">
        <v>1222</v>
      </c>
      <c r="C46" s="151"/>
      <c r="D46" s="989"/>
      <c r="E46" s="990"/>
      <c r="F46" s="990"/>
      <c r="G46" s="991"/>
      <c r="H46" s="1165" t="str">
        <f>IF('Form "D" Other'!J46&lt;1,"",'Form "D" Other'!J46)</f>
        <v/>
      </c>
      <c r="I46" s="1164"/>
      <c r="J46" s="987"/>
      <c r="K46" s="1256" t="str">
        <f t="shared" si="0"/>
        <v/>
      </c>
    </row>
    <row r="47" spans="1:11" s="105" customFormat="1" ht="18" customHeight="1" x14ac:dyDescent="0.25">
      <c r="A47" s="173"/>
      <c r="B47" s="154" t="s">
        <v>1222</v>
      </c>
      <c r="C47" s="151"/>
      <c r="D47" s="989"/>
      <c r="E47" s="990"/>
      <c r="F47" s="990"/>
      <c r="G47" s="991"/>
      <c r="H47" s="1165" t="str">
        <f>IF('Form "D" Other'!J47&lt;1,"",'Form "D" Other'!J47)</f>
        <v/>
      </c>
      <c r="I47" s="1164"/>
      <c r="J47" s="987"/>
      <c r="K47" s="1256" t="str">
        <f t="shared" si="0"/>
        <v/>
      </c>
    </row>
    <row r="48" spans="1:11" s="105" customFormat="1" ht="18" customHeight="1" x14ac:dyDescent="0.25">
      <c r="A48" s="173"/>
      <c r="B48" s="154" t="s">
        <v>1222</v>
      </c>
      <c r="C48" s="151"/>
      <c r="D48" s="989"/>
      <c r="E48" s="990"/>
      <c r="F48" s="990"/>
      <c r="G48" s="991"/>
      <c r="H48" s="1165" t="str">
        <f>IF('Form "D" Other'!J48&lt;1,"",'Form "D" Other'!J48)</f>
        <v/>
      </c>
      <c r="I48" s="1164"/>
      <c r="J48" s="987"/>
      <c r="K48" s="1256" t="str">
        <f t="shared" si="0"/>
        <v/>
      </c>
    </row>
    <row r="49" spans="1:11" s="105" customFormat="1" ht="18" customHeight="1" x14ac:dyDescent="0.25">
      <c r="A49" s="173"/>
      <c r="B49" s="154" t="s">
        <v>1222</v>
      </c>
      <c r="C49" s="151"/>
      <c r="D49" s="989"/>
      <c r="E49" s="990"/>
      <c r="F49" s="990"/>
      <c r="G49" s="991"/>
      <c r="H49" s="1165" t="str">
        <f>IF('Form "D" Other'!J49&lt;1,"",'Form "D" Other'!J49)</f>
        <v/>
      </c>
      <c r="I49" s="1164"/>
      <c r="J49" s="987"/>
      <c r="K49" s="1256" t="str">
        <f t="shared" si="0"/>
        <v/>
      </c>
    </row>
    <row r="50" spans="1:11" s="105" customFormat="1" ht="18" customHeight="1" x14ac:dyDescent="0.25">
      <c r="A50" s="173"/>
      <c r="B50" s="154" t="s">
        <v>1222</v>
      </c>
      <c r="C50" s="151"/>
      <c r="D50" s="989"/>
      <c r="E50" s="990"/>
      <c r="F50" s="990"/>
      <c r="G50" s="991"/>
      <c r="H50" s="1165" t="str">
        <f>IF('Form "D" Other'!J50&lt;1,"",'Form "D" Other'!J50)</f>
        <v/>
      </c>
      <c r="I50" s="1164"/>
      <c r="J50" s="987"/>
      <c r="K50" s="1256" t="str">
        <f t="shared" si="0"/>
        <v/>
      </c>
    </row>
    <row r="51" spans="1:11" s="105" customFormat="1" ht="18" customHeight="1" x14ac:dyDescent="0.25">
      <c r="A51" s="173"/>
      <c r="B51" s="154" t="s">
        <v>1222</v>
      </c>
      <c r="C51" s="151"/>
      <c r="D51" s="989"/>
      <c r="E51" s="990"/>
      <c r="F51" s="990"/>
      <c r="G51" s="991"/>
      <c r="H51" s="1165" t="str">
        <f>IF('Form "D" Other'!J51&lt;1,"",'Form "D" Other'!J51)</f>
        <v/>
      </c>
      <c r="I51" s="1164"/>
      <c r="J51" s="987"/>
      <c r="K51" s="1256" t="str">
        <f t="shared" si="0"/>
        <v/>
      </c>
    </row>
    <row r="52" spans="1:11" s="105" customFormat="1" ht="18" customHeight="1" x14ac:dyDescent="0.25">
      <c r="A52" s="173"/>
      <c r="B52" s="154" t="s">
        <v>1222</v>
      </c>
      <c r="C52" s="151"/>
      <c r="D52" s="989"/>
      <c r="E52" s="990"/>
      <c r="F52" s="990"/>
      <c r="G52" s="991"/>
      <c r="H52" s="1165" t="str">
        <f>IF('Form "D" Other'!J52&lt;1,"",'Form "D" Other'!J52)</f>
        <v/>
      </c>
      <c r="I52" s="1164"/>
      <c r="J52" s="987"/>
      <c r="K52" s="1256" t="str">
        <f t="shared" si="0"/>
        <v/>
      </c>
    </row>
    <row r="53" spans="1:11" s="105" customFormat="1" ht="18" customHeight="1" x14ac:dyDescent="0.25">
      <c r="A53" s="173"/>
      <c r="B53" s="154" t="s">
        <v>1222</v>
      </c>
      <c r="C53" s="151"/>
      <c r="D53" s="989"/>
      <c r="E53" s="990"/>
      <c r="F53" s="990"/>
      <c r="G53" s="991"/>
      <c r="H53" s="1165" t="str">
        <f>IF('Form "D" Other'!J53&lt;1,"",'Form "D" Other'!J53)</f>
        <v/>
      </c>
      <c r="I53" s="1164"/>
      <c r="J53" s="987"/>
      <c r="K53" s="1256" t="str">
        <f t="shared" si="0"/>
        <v/>
      </c>
    </row>
    <row r="54" spans="1:11" s="105" customFormat="1" ht="18" customHeight="1" x14ac:dyDescent="0.25">
      <c r="A54" s="173"/>
      <c r="B54" s="154" t="s">
        <v>1222</v>
      </c>
      <c r="C54" s="151"/>
      <c r="D54" s="989"/>
      <c r="E54" s="990"/>
      <c r="F54" s="990"/>
      <c r="G54" s="991"/>
      <c r="H54" s="1165" t="str">
        <f>IF('Form "D" Other'!J54&lt;1,"",'Form "D" Other'!J54)</f>
        <v/>
      </c>
      <c r="I54" s="1164"/>
      <c r="J54" s="987"/>
      <c r="K54" s="1256" t="str">
        <f>IF(I54&lt;1,"",IF(J54="",I54,(I54*(1+J54))))</f>
        <v/>
      </c>
    </row>
    <row r="55" spans="1:11" ht="18" customHeight="1" thickBot="1" x14ac:dyDescent="0.35">
      <c r="B55" s="310"/>
      <c r="C55" s="311"/>
      <c r="D55" s="311"/>
      <c r="E55" s="311"/>
      <c r="F55" s="311"/>
      <c r="G55" s="311"/>
      <c r="H55" s="172"/>
      <c r="I55" s="172"/>
      <c r="J55" s="228"/>
      <c r="K55" s="1264"/>
    </row>
    <row r="56" spans="1:11" ht="18" customHeight="1" thickBot="1" x14ac:dyDescent="0.35">
      <c r="B56" s="420" t="s">
        <v>1001</v>
      </c>
      <c r="C56" s="419"/>
      <c r="D56" s="314"/>
      <c r="E56" s="2335">
        <f>('Form "D" Other'!K56)</f>
        <v>0</v>
      </c>
      <c r="F56" s="2336"/>
      <c r="G56" s="267" t="s">
        <v>1003</v>
      </c>
      <c r="H56" s="268"/>
      <c r="I56" s="268"/>
      <c r="J56" s="312"/>
      <c r="K56" s="1263">
        <f>SUM(K6:K55)</f>
        <v>0</v>
      </c>
    </row>
  </sheetData>
  <sheetProtection algorithmName="SHA-512" hashValue="uJ74Ktq8SsmvGBB7ggNsHHr5GQKaNWDzey17ktuIDa8Pj+QdIWIyJhOKRoJ4EZht/OqGJFZTZDOWpHVU9vBVzw==" saltValue="Ws8SGyqK5HrnoyXSStmtow==" spinCount="100000" sheet="1" objects="1" scenarios="1" selectLockedCells="1"/>
  <protectedRanges>
    <protectedRange sqref="I7:J54 D43:G54 C26:G29" name="Range3"/>
  </protectedRanges>
  <customSheetViews>
    <customSheetView guid="{BC429C65-53B8-4F97-88D2-74ECCD734800}" showGridLines="0" showRowCol="0" fitToPage="1" state="hidden">
      <pane xSplit="1" ySplit="6" topLeftCell="B7" activePane="bottomRight" state="frozen"/>
      <selection pane="bottomRight" activeCell="B3" sqref="B3:J3"/>
      <pageMargins left="0.25" right="0.25" top="0.75" bottom="0.75" header="0" footer="0.3"/>
      <printOptions horizontalCentered="1"/>
      <pageSetup scale="93" orientation="portrait" r:id="rId1"/>
      <headerFooter>
        <oddHeader>&amp;RPR</oddHeader>
      </headerFooter>
    </customSheetView>
  </customSheetViews>
  <mergeCells count="1">
    <mergeCell ref="E56:F56"/>
  </mergeCells>
  <phoneticPr fontId="21" type="noConversion"/>
  <dataValidations xWindow="448" yWindow="279" count="4">
    <dataValidation type="whole" allowBlank="1" showInputMessage="1" showErrorMessage="1" prompt="Cell will only accept the value &quot;1&quot;_x000a_" sqref="H55:I55" xr:uid="{00000000-0002-0000-1200-000000000000}">
      <formula1>0</formula1>
      <formula2>1</formula2>
    </dataValidation>
    <dataValidation allowBlank="1" showErrorMessage="1" sqref="H7:H54 I10:I54" xr:uid="{00000000-0002-0000-1200-000001000000}"/>
    <dataValidation type="list" allowBlank="1" showErrorMessage="1" prompt="Enter &quot;10&quot; for 10% or &quot;5&quot; for 5%" sqref="J7:J15 J18:J54" xr:uid="{00000000-0002-0000-1200-000002000000}">
      <formula1>$L$28:$L$29</formula1>
    </dataValidation>
    <dataValidation type="list" allowBlank="1" showErrorMessage="1" prompt="Enter &quot;10&quot; for 10% or &quot;5&quot; for 5%" sqref="J16 J17" xr:uid="{00000000-0002-0000-1200-000003000000}">
      <formula1>$L$28</formula1>
    </dataValidation>
  </dataValidations>
  <printOptions horizontalCentered="1"/>
  <pageMargins left="0.5" right="0.5" top="0.5" bottom="0.5" header="0" footer="0"/>
  <pageSetup scale="95" orientation="portrait" r:id="rId2"/>
  <headerFooter>
    <oddHeader>&amp;RPR</oddHeader>
    <oddFooter>&amp;LADEM Form 32 DRAFT&amp;C2/2025&amp;R*M9 DRAFT</oddFooter>
  </headerFooter>
  <rowBreaks count="1" manualBreakCount="1">
    <brk id="42" min="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25602" r:id="rId5" name="Button 2">
              <controlPr defaultSize="0" print="0" autoFill="0" autoPict="0" macro="[0]!deleteprdinputs">
                <anchor>
                  <from>
                    <xdr:col>0</xdr:col>
                    <xdr:colOff>175260</xdr:colOff>
                    <xdr:row>12</xdr:row>
                    <xdr:rowOff>99060</xdr:rowOff>
                  </from>
                  <to>
                    <xdr:col>0</xdr:col>
                    <xdr:colOff>861060</xdr:colOff>
                    <xdr:row>15</xdr:row>
                    <xdr:rowOff>83820</xdr:rowOff>
                  </to>
                </anchor>
              </controlPr>
            </control>
          </mc:Choice>
        </mc:AlternateContent>
        <mc:AlternateContent xmlns:mc="http://schemas.openxmlformats.org/markup-compatibility/2006">
          <mc:Choice Requires="x14">
            <control shapeId="25604" r:id="rId6" name="Button 4">
              <controlPr defaultSize="0" print="0" autoFill="0" autoPict="0" macro="[0]!one">
                <anchor>
                  <from>
                    <xdr:col>0</xdr:col>
                    <xdr:colOff>198120</xdr:colOff>
                    <xdr:row>8</xdr:row>
                    <xdr:rowOff>182880</xdr:rowOff>
                  </from>
                  <to>
                    <xdr:col>0</xdr:col>
                    <xdr:colOff>822960</xdr:colOff>
                    <xdr:row>11</xdr:row>
                    <xdr:rowOff>160020</xdr:rowOff>
                  </to>
                </anchor>
              </controlPr>
            </control>
          </mc:Choice>
        </mc:AlternateContent>
        <mc:AlternateContent xmlns:mc="http://schemas.openxmlformats.org/markup-compatibility/2006">
          <mc:Choice Requires="x14">
            <control shapeId="25605" r:id="rId7" name="Button 5">
              <controlPr defaultSize="0" print="0" autoFill="0" autoPict="0" macro="[0]!nine">
                <anchor>
                  <from>
                    <xdr:col>0</xdr:col>
                    <xdr:colOff>175260</xdr:colOff>
                    <xdr:row>16</xdr:row>
                    <xdr:rowOff>22860</xdr:rowOff>
                  </from>
                  <to>
                    <xdr:col>0</xdr:col>
                    <xdr:colOff>861060</xdr:colOff>
                    <xdr:row>19</xdr:row>
                    <xdr:rowOff>7620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B1:R99"/>
  <sheetViews>
    <sheetView topLeftCell="B1" workbookViewId="0">
      <pane ySplit="2" topLeftCell="A66" activePane="bottomLeft" state="frozen"/>
      <selection activeCell="E8" sqref="E8:J10"/>
      <selection pane="bottomLeft" activeCell="P74" sqref="P74"/>
    </sheetView>
  </sheetViews>
  <sheetFormatPr defaultRowHeight="13.2" x14ac:dyDescent="0.25"/>
  <sheetData>
    <row r="1" spans="2:18" ht="13.8" thickBot="1" x14ac:dyDescent="0.3"/>
    <row r="2" spans="2:18" x14ac:dyDescent="0.25">
      <c r="B2" s="9"/>
      <c r="C2" s="7"/>
      <c r="D2" s="7"/>
      <c r="E2" s="7"/>
      <c r="F2" s="7"/>
      <c r="G2" s="7"/>
      <c r="H2" s="7" t="s">
        <v>3</v>
      </c>
      <c r="I2" s="7" t="s">
        <v>357</v>
      </c>
      <c r="J2" s="7" t="s">
        <v>16</v>
      </c>
      <c r="K2" s="7" t="s">
        <v>17</v>
      </c>
      <c r="L2" s="7"/>
      <c r="M2" s="7" t="s">
        <v>3</v>
      </c>
      <c r="N2" s="7" t="s">
        <v>357</v>
      </c>
      <c r="O2" s="7" t="s">
        <v>16</v>
      </c>
      <c r="P2" s="7" t="s">
        <v>17</v>
      </c>
      <c r="Q2" s="7"/>
      <c r="R2" s="15"/>
    </row>
    <row r="3" spans="2:18" x14ac:dyDescent="0.25">
      <c r="B3" s="10"/>
      <c r="R3" s="17"/>
    </row>
    <row r="4" spans="2:18" x14ac:dyDescent="0.25">
      <c r="B4" s="51" t="s">
        <v>704</v>
      </c>
      <c r="J4">
        <f>' Field Task'!C5</f>
        <v>204</v>
      </c>
      <c r="K4">
        <f>' Field Task'!G5</f>
        <v>37</v>
      </c>
      <c r="L4">
        <f>'Form "B" Field'!J10</f>
        <v>0</v>
      </c>
      <c r="M4">
        <f>H4*L4</f>
        <v>0</v>
      </c>
      <c r="N4">
        <f>I4*L4</f>
        <v>0</v>
      </c>
      <c r="O4">
        <f>J4*L4</f>
        <v>0</v>
      </c>
      <c r="P4">
        <f>K4*L4</f>
        <v>0</v>
      </c>
      <c r="R4" s="17"/>
    </row>
    <row r="5" spans="2:18" x14ac:dyDescent="0.25">
      <c r="B5" s="51" t="s">
        <v>705</v>
      </c>
      <c r="J5">
        <f>' Field Task'!C7</f>
        <v>306</v>
      </c>
      <c r="K5">
        <f>' Field Task'!G7</f>
        <v>74</v>
      </c>
      <c r="L5">
        <f>'Form "B" Field'!J11</f>
        <v>0</v>
      </c>
      <c r="M5">
        <f t="shared" ref="M5:M71" si="0">H5*L5</f>
        <v>0</v>
      </c>
      <c r="N5">
        <f t="shared" ref="N5:N71" si="1">I5*L5</f>
        <v>0</v>
      </c>
      <c r="O5">
        <f t="shared" ref="O5:O71" si="2">J5*L5</f>
        <v>0</v>
      </c>
      <c r="P5">
        <f t="shared" ref="P5:P71" si="3">K5*L5</f>
        <v>0</v>
      </c>
      <c r="R5" s="17"/>
    </row>
    <row r="6" spans="2:18" x14ac:dyDescent="0.25">
      <c r="B6" s="51" t="s">
        <v>706</v>
      </c>
      <c r="J6">
        <f>' Field Task'!C9</f>
        <v>714</v>
      </c>
      <c r="K6">
        <f>' Field Task'!G9</f>
        <v>111</v>
      </c>
      <c r="L6">
        <f>'Form "B" Field'!J12</f>
        <v>0</v>
      </c>
      <c r="M6">
        <f t="shared" si="0"/>
        <v>0</v>
      </c>
      <c r="N6">
        <f t="shared" si="1"/>
        <v>0</v>
      </c>
      <c r="O6">
        <f t="shared" si="2"/>
        <v>0</v>
      </c>
      <c r="P6">
        <f t="shared" si="3"/>
        <v>0</v>
      </c>
      <c r="R6" s="17"/>
    </row>
    <row r="7" spans="2:18" x14ac:dyDescent="0.25">
      <c r="B7" s="51" t="s">
        <v>744</v>
      </c>
      <c r="J7">
        <f>' Field Task'!C11</f>
        <v>918</v>
      </c>
      <c r="K7">
        <f>' Field Task'!G11</f>
        <v>148</v>
      </c>
      <c r="L7">
        <f>'Form "B" Field'!J13</f>
        <v>0</v>
      </c>
      <c r="M7">
        <f t="shared" si="0"/>
        <v>0</v>
      </c>
      <c r="N7">
        <f t="shared" si="1"/>
        <v>0</v>
      </c>
      <c r="O7">
        <f t="shared" si="2"/>
        <v>0</v>
      </c>
      <c r="P7">
        <f t="shared" si="3"/>
        <v>0</v>
      </c>
      <c r="R7" s="17"/>
    </row>
    <row r="8" spans="2:18" x14ac:dyDescent="0.25">
      <c r="B8" s="51" t="s">
        <v>707</v>
      </c>
      <c r="J8">
        <f>' Field Task'!C13</f>
        <v>1122</v>
      </c>
      <c r="K8">
        <f>' Field Task'!G13</f>
        <v>185</v>
      </c>
      <c r="L8">
        <f>'Form "B" Field'!J14</f>
        <v>0</v>
      </c>
      <c r="M8">
        <f t="shared" si="0"/>
        <v>0</v>
      </c>
      <c r="N8">
        <f t="shared" si="1"/>
        <v>0</v>
      </c>
      <c r="O8">
        <f t="shared" si="2"/>
        <v>0</v>
      </c>
      <c r="P8">
        <f t="shared" si="3"/>
        <v>0</v>
      </c>
      <c r="R8" s="17"/>
    </row>
    <row r="9" spans="2:18" x14ac:dyDescent="0.25">
      <c r="B9" s="51" t="s">
        <v>708</v>
      </c>
      <c r="J9">
        <f>' Field Task'!C15</f>
        <v>1326</v>
      </c>
      <c r="K9">
        <f>' Field Task'!G15</f>
        <v>222</v>
      </c>
      <c r="L9">
        <f>'Form "B" Field'!J15</f>
        <v>0</v>
      </c>
      <c r="M9">
        <f t="shared" si="0"/>
        <v>0</v>
      </c>
      <c r="N9">
        <f t="shared" si="1"/>
        <v>0</v>
      </c>
      <c r="O9">
        <f t="shared" si="2"/>
        <v>0</v>
      </c>
      <c r="P9">
        <f t="shared" si="3"/>
        <v>0</v>
      </c>
      <c r="R9" s="17"/>
    </row>
    <row r="10" spans="2:18" x14ac:dyDescent="0.25">
      <c r="B10" s="10"/>
      <c r="R10" s="17"/>
    </row>
    <row r="11" spans="2:18" x14ac:dyDescent="0.25">
      <c r="B11" s="10"/>
      <c r="R11" s="17"/>
    </row>
    <row r="12" spans="2:18" x14ac:dyDescent="0.25">
      <c r="B12" s="51" t="s">
        <v>251</v>
      </c>
      <c r="J12">
        <f>' Field Task'!C19</f>
        <v>306</v>
      </c>
      <c r="K12">
        <f>' Field Task'!G19</f>
        <v>74</v>
      </c>
      <c r="L12">
        <f>'Form "B" Field'!J18</f>
        <v>0</v>
      </c>
      <c r="M12">
        <f t="shared" ref="M12:M17" si="4">H12*L12</f>
        <v>0</v>
      </c>
      <c r="N12">
        <f t="shared" ref="N12:N17" si="5">I12*L12</f>
        <v>0</v>
      </c>
      <c r="O12">
        <f t="shared" ref="O12:O17" si="6">J12*L12</f>
        <v>0</v>
      </c>
      <c r="P12">
        <f t="shared" ref="P12:P17" si="7">K12*L12</f>
        <v>0</v>
      </c>
      <c r="R12" s="17"/>
    </row>
    <row r="13" spans="2:18" x14ac:dyDescent="0.25">
      <c r="B13" s="51" t="s">
        <v>253</v>
      </c>
      <c r="J13">
        <f>' Field Task'!C23</f>
        <v>408</v>
      </c>
      <c r="K13">
        <f>' Field Task'!G23</f>
        <v>111</v>
      </c>
      <c r="L13">
        <f>'Form "B" Field'!J19</f>
        <v>0</v>
      </c>
      <c r="M13">
        <f t="shared" si="4"/>
        <v>0</v>
      </c>
      <c r="N13">
        <f t="shared" si="5"/>
        <v>0</v>
      </c>
      <c r="O13">
        <f t="shared" si="6"/>
        <v>0</v>
      </c>
      <c r="P13">
        <f t="shared" si="7"/>
        <v>0</v>
      </c>
      <c r="R13" s="17"/>
    </row>
    <row r="14" spans="2:18" x14ac:dyDescent="0.25">
      <c r="B14" s="51" t="s">
        <v>255</v>
      </c>
      <c r="J14">
        <f>' Field Task'!C27</f>
        <v>612</v>
      </c>
      <c r="K14">
        <f>' Field Task'!G27</f>
        <v>148</v>
      </c>
      <c r="L14">
        <f>'Form "B" Field'!J20</f>
        <v>0</v>
      </c>
      <c r="M14">
        <f t="shared" si="4"/>
        <v>0</v>
      </c>
      <c r="N14">
        <f t="shared" si="5"/>
        <v>0</v>
      </c>
      <c r="O14">
        <f t="shared" si="6"/>
        <v>0</v>
      </c>
      <c r="P14">
        <f t="shared" si="7"/>
        <v>0</v>
      </c>
      <c r="R14" s="17"/>
    </row>
    <row r="15" spans="2:18" x14ac:dyDescent="0.25">
      <c r="B15" s="51" t="s">
        <v>256</v>
      </c>
      <c r="J15">
        <f>' Field Task'!C31</f>
        <v>816</v>
      </c>
      <c r="K15">
        <f>' Field Task'!G31</f>
        <v>185</v>
      </c>
      <c r="L15">
        <f>'Form "B" Field'!J21</f>
        <v>0</v>
      </c>
      <c r="M15">
        <f t="shared" si="4"/>
        <v>0</v>
      </c>
      <c r="N15">
        <f t="shared" si="5"/>
        <v>0</v>
      </c>
      <c r="O15">
        <f t="shared" si="6"/>
        <v>0</v>
      </c>
      <c r="P15">
        <f t="shared" si="7"/>
        <v>0</v>
      </c>
      <c r="R15" s="17"/>
    </row>
    <row r="16" spans="2:18" x14ac:dyDescent="0.25">
      <c r="B16" s="10"/>
      <c r="R16" s="17"/>
    </row>
    <row r="17" spans="2:18" x14ac:dyDescent="0.25">
      <c r="B17" s="51" t="s">
        <v>252</v>
      </c>
      <c r="J17">
        <f>' Field Task'!C21</f>
        <v>408</v>
      </c>
      <c r="K17">
        <f>' Field Task'!G21</f>
        <v>74</v>
      </c>
      <c r="L17">
        <f>'Form "B" Field'!J23</f>
        <v>0</v>
      </c>
      <c r="M17">
        <f t="shared" si="4"/>
        <v>0</v>
      </c>
      <c r="N17">
        <f t="shared" si="5"/>
        <v>0</v>
      </c>
      <c r="O17">
        <f t="shared" si="6"/>
        <v>0</v>
      </c>
      <c r="P17">
        <f t="shared" si="7"/>
        <v>0</v>
      </c>
      <c r="R17" s="17"/>
    </row>
    <row r="18" spans="2:18" x14ac:dyDescent="0.25">
      <c r="B18" s="51" t="s">
        <v>254</v>
      </c>
      <c r="J18">
        <f>' Field Task'!C25</f>
        <v>714</v>
      </c>
      <c r="K18">
        <f>' Field Task'!G25</f>
        <v>111</v>
      </c>
      <c r="L18">
        <f>'Form "B" Field'!J24</f>
        <v>0</v>
      </c>
      <c r="M18">
        <f>H18*L18</f>
        <v>0</v>
      </c>
      <c r="N18">
        <f>I18*L18</f>
        <v>0</v>
      </c>
      <c r="O18">
        <f>J18*L18</f>
        <v>0</v>
      </c>
      <c r="P18">
        <f>K18*L18</f>
        <v>0</v>
      </c>
      <c r="R18" s="17"/>
    </row>
    <row r="19" spans="2:18" x14ac:dyDescent="0.25">
      <c r="B19" s="51" t="s">
        <v>257</v>
      </c>
      <c r="J19">
        <f>' Field Task'!C29</f>
        <v>816</v>
      </c>
      <c r="K19">
        <f>' Field Task'!G29</f>
        <v>148</v>
      </c>
      <c r="L19">
        <f>'Form "B" Field'!J25</f>
        <v>0</v>
      </c>
      <c r="M19">
        <f t="shared" si="0"/>
        <v>0</v>
      </c>
      <c r="N19">
        <f t="shared" si="1"/>
        <v>0</v>
      </c>
      <c r="O19">
        <f t="shared" si="2"/>
        <v>0</v>
      </c>
      <c r="P19">
        <f t="shared" si="3"/>
        <v>0</v>
      </c>
      <c r="R19" s="17"/>
    </row>
    <row r="20" spans="2:18" x14ac:dyDescent="0.25">
      <c r="B20" s="51" t="s">
        <v>258</v>
      </c>
      <c r="J20">
        <f>' Field Task'!C33</f>
        <v>1020</v>
      </c>
      <c r="K20">
        <f>' Field Task'!G33</f>
        <v>185</v>
      </c>
      <c r="L20">
        <f>'Form "B" Field'!J26</f>
        <v>0</v>
      </c>
      <c r="M20">
        <f t="shared" si="0"/>
        <v>0</v>
      </c>
      <c r="N20">
        <f t="shared" si="1"/>
        <v>0</v>
      </c>
      <c r="O20">
        <f t="shared" si="2"/>
        <v>0</v>
      </c>
      <c r="P20">
        <f t="shared" si="3"/>
        <v>0</v>
      </c>
      <c r="R20" s="17"/>
    </row>
    <row r="21" spans="2:18" x14ac:dyDescent="0.25">
      <c r="B21" s="51"/>
      <c r="R21" s="17"/>
    </row>
    <row r="22" spans="2:18" x14ac:dyDescent="0.25">
      <c r="B22" s="51" t="s">
        <v>1317</v>
      </c>
      <c r="R22" s="17"/>
    </row>
    <row r="23" spans="2:18" x14ac:dyDescent="0.25">
      <c r="B23" s="51" t="s">
        <v>701</v>
      </c>
      <c r="J23">
        <f>' Field Task'!C37</f>
        <v>357</v>
      </c>
      <c r="K23">
        <f>' Field Task'!G37</f>
        <v>74</v>
      </c>
      <c r="L23">
        <f>'Form "B" Field'!J30</f>
        <v>0</v>
      </c>
      <c r="M23">
        <f>H23*L23</f>
        <v>0</v>
      </c>
      <c r="N23">
        <f>I23*L23</f>
        <v>0</v>
      </c>
      <c r="O23">
        <f>J23*L23</f>
        <v>0</v>
      </c>
      <c r="P23">
        <f>K23*L23</f>
        <v>0</v>
      </c>
      <c r="R23" s="17"/>
    </row>
    <row r="24" spans="2:18" x14ac:dyDescent="0.25">
      <c r="B24" s="51" t="s">
        <v>259</v>
      </c>
      <c r="J24">
        <f>' Field Task'!C39</f>
        <v>561</v>
      </c>
      <c r="K24">
        <f>' Field Task'!G39</f>
        <v>111</v>
      </c>
      <c r="L24">
        <f>'Form "B" Field'!J31</f>
        <v>0</v>
      </c>
      <c r="M24">
        <f t="shared" si="0"/>
        <v>0</v>
      </c>
      <c r="N24">
        <f t="shared" si="1"/>
        <v>0</v>
      </c>
      <c r="O24">
        <f t="shared" si="2"/>
        <v>0</v>
      </c>
      <c r="P24">
        <f t="shared" si="3"/>
        <v>0</v>
      </c>
      <c r="R24" s="17"/>
    </row>
    <row r="25" spans="2:18" x14ac:dyDescent="0.25">
      <c r="B25" s="51" t="s">
        <v>260</v>
      </c>
      <c r="J25">
        <f>' Field Task'!C41</f>
        <v>765</v>
      </c>
      <c r="K25">
        <f>' Field Task'!G41</f>
        <v>148</v>
      </c>
      <c r="L25">
        <f>'Form "B" Field'!J32</f>
        <v>0</v>
      </c>
      <c r="M25">
        <f t="shared" si="0"/>
        <v>0</v>
      </c>
      <c r="N25">
        <f t="shared" si="1"/>
        <v>0</v>
      </c>
      <c r="O25">
        <f t="shared" si="2"/>
        <v>0</v>
      </c>
      <c r="P25">
        <f t="shared" si="3"/>
        <v>0</v>
      </c>
      <c r="R25" s="17"/>
    </row>
    <row r="26" spans="2:18" x14ac:dyDescent="0.25">
      <c r="B26" s="51" t="s">
        <v>261</v>
      </c>
      <c r="J26">
        <f>' Field Task'!C43</f>
        <v>969</v>
      </c>
      <c r="K26">
        <f>' Field Task'!G43</f>
        <v>185</v>
      </c>
      <c r="L26">
        <f>'Form "B" Field'!J33</f>
        <v>0</v>
      </c>
      <c r="M26">
        <f t="shared" si="0"/>
        <v>0</v>
      </c>
      <c r="N26">
        <f t="shared" si="1"/>
        <v>0</v>
      </c>
      <c r="O26">
        <f t="shared" si="2"/>
        <v>0</v>
      </c>
      <c r="P26">
        <f t="shared" si="3"/>
        <v>0</v>
      </c>
      <c r="R26" s="17"/>
    </row>
    <row r="27" spans="2:18" x14ac:dyDescent="0.25">
      <c r="B27" s="51" t="s">
        <v>262</v>
      </c>
      <c r="J27">
        <f>' Field Task'!C45</f>
        <v>1173</v>
      </c>
      <c r="K27">
        <f>' Field Task'!G45</f>
        <v>222</v>
      </c>
      <c r="L27">
        <f>'Form "B" Field'!J34</f>
        <v>0</v>
      </c>
      <c r="M27">
        <f t="shared" si="0"/>
        <v>0</v>
      </c>
      <c r="N27">
        <f t="shared" si="1"/>
        <v>0</v>
      </c>
      <c r="O27">
        <f t="shared" si="2"/>
        <v>0</v>
      </c>
      <c r="P27">
        <f t="shared" si="3"/>
        <v>0</v>
      </c>
      <c r="R27" s="17"/>
    </row>
    <row r="28" spans="2:18" x14ac:dyDescent="0.25">
      <c r="B28" s="51" t="s">
        <v>1318</v>
      </c>
      <c r="R28" s="17"/>
    </row>
    <row r="29" spans="2:18" x14ac:dyDescent="0.25">
      <c r="B29" s="51" t="s">
        <v>701</v>
      </c>
      <c r="J29">
        <f>' Field Task'!C59</f>
        <v>408</v>
      </c>
      <c r="K29">
        <f>' Field Task'!G59</f>
        <v>74</v>
      </c>
      <c r="L29">
        <f>'Form "B" Field'!J37</f>
        <v>0</v>
      </c>
      <c r="M29">
        <f>H29*L29</f>
        <v>0</v>
      </c>
      <c r="N29">
        <f>I29*L29</f>
        <v>0</v>
      </c>
      <c r="O29">
        <f>J29*L29</f>
        <v>0</v>
      </c>
      <c r="P29">
        <f>K29*L29</f>
        <v>0</v>
      </c>
      <c r="R29" s="17"/>
    </row>
    <row r="30" spans="2:18" x14ac:dyDescent="0.25">
      <c r="B30" s="51" t="s">
        <v>259</v>
      </c>
      <c r="J30">
        <f>' Field Task'!C61</f>
        <v>612</v>
      </c>
      <c r="K30">
        <f>' Field Task'!G61</f>
        <v>111</v>
      </c>
      <c r="L30">
        <f>'Form "B" Field'!J38</f>
        <v>0</v>
      </c>
      <c r="M30">
        <f>H30*L30</f>
        <v>0</v>
      </c>
      <c r="N30">
        <f>I30*L30</f>
        <v>0</v>
      </c>
      <c r="O30">
        <f>J30*L30</f>
        <v>0</v>
      </c>
      <c r="P30">
        <f>K30*L30</f>
        <v>0</v>
      </c>
      <c r="R30" s="17"/>
    </row>
    <row r="31" spans="2:18" x14ac:dyDescent="0.25">
      <c r="B31" s="51" t="s">
        <v>260</v>
      </c>
      <c r="J31">
        <f>' Field Task'!C63</f>
        <v>816</v>
      </c>
      <c r="K31">
        <f>' Field Task'!G63</f>
        <v>148</v>
      </c>
      <c r="L31">
        <f>'Form "B" Field'!J39</f>
        <v>0</v>
      </c>
      <c r="M31">
        <f>H31*L31</f>
        <v>0</v>
      </c>
      <c r="N31">
        <f>I31*L31</f>
        <v>0</v>
      </c>
      <c r="O31">
        <f>J31*L31</f>
        <v>0</v>
      </c>
      <c r="P31">
        <f>K31*L31</f>
        <v>0</v>
      </c>
      <c r="R31" s="17"/>
    </row>
    <row r="32" spans="2:18" x14ac:dyDescent="0.25">
      <c r="B32" s="51" t="s">
        <v>261</v>
      </c>
      <c r="J32">
        <f>' Field Task'!C65</f>
        <v>1020</v>
      </c>
      <c r="K32">
        <f>' Field Task'!G65</f>
        <v>185</v>
      </c>
      <c r="L32">
        <f>'Form "B" Field'!J40</f>
        <v>0</v>
      </c>
      <c r="M32">
        <f>H32*L32</f>
        <v>0</v>
      </c>
      <c r="N32">
        <f>I32*L32</f>
        <v>0</v>
      </c>
      <c r="O32">
        <f>J32*L32</f>
        <v>0</v>
      </c>
      <c r="P32">
        <f>K32*L32</f>
        <v>0</v>
      </c>
      <c r="R32" s="17"/>
    </row>
    <row r="33" spans="2:18" x14ac:dyDescent="0.25">
      <c r="B33" s="51" t="s">
        <v>262</v>
      </c>
      <c r="J33">
        <f>' Field Task'!C67</f>
        <v>1224</v>
      </c>
      <c r="K33">
        <f>' Field Task'!G67</f>
        <v>222</v>
      </c>
      <c r="L33">
        <f>'Form "B" Field'!J41</f>
        <v>0</v>
      </c>
      <c r="M33">
        <f>H33*L33</f>
        <v>0</v>
      </c>
      <c r="N33">
        <f>I33*L33</f>
        <v>0</v>
      </c>
      <c r="O33">
        <f>J33*L33</f>
        <v>0</v>
      </c>
      <c r="P33">
        <f>K33*L33</f>
        <v>0</v>
      </c>
      <c r="R33" s="17"/>
    </row>
    <row r="34" spans="2:18" x14ac:dyDescent="0.25">
      <c r="B34" s="51"/>
      <c r="R34" s="17"/>
    </row>
    <row r="35" spans="2:18" x14ac:dyDescent="0.25">
      <c r="B35" s="51" t="s">
        <v>813</v>
      </c>
      <c r="J35">
        <f>' Field Task'!C71</f>
        <v>153</v>
      </c>
      <c r="K35">
        <f>' Field Task'!G71</f>
        <v>0</v>
      </c>
      <c r="L35">
        <f>'Form "B" Field'!J43</f>
        <v>0</v>
      </c>
      <c r="M35">
        <f t="shared" si="0"/>
        <v>0</v>
      </c>
      <c r="N35">
        <f t="shared" si="1"/>
        <v>0</v>
      </c>
      <c r="O35">
        <f t="shared" si="2"/>
        <v>0</v>
      </c>
      <c r="P35">
        <f t="shared" si="3"/>
        <v>0</v>
      </c>
      <c r="R35" s="17"/>
    </row>
    <row r="36" spans="2:18" x14ac:dyDescent="0.25">
      <c r="B36" s="51" t="s">
        <v>814</v>
      </c>
      <c r="J36">
        <f>' Field Task'!C73</f>
        <v>255</v>
      </c>
      <c r="K36">
        <f>' Field Task'!G73</f>
        <v>0</v>
      </c>
      <c r="L36">
        <f>'Form "B" Field'!J44</f>
        <v>0</v>
      </c>
      <c r="M36">
        <f t="shared" si="0"/>
        <v>0</v>
      </c>
      <c r="N36">
        <f t="shared" si="1"/>
        <v>0</v>
      </c>
      <c r="O36">
        <f t="shared" si="2"/>
        <v>0</v>
      </c>
      <c r="P36">
        <f t="shared" si="3"/>
        <v>0</v>
      </c>
      <c r="R36" s="17"/>
    </row>
    <row r="37" spans="2:18" x14ac:dyDescent="0.25">
      <c r="B37" s="51" t="s">
        <v>815</v>
      </c>
      <c r="J37">
        <f>' Field Task'!C75</f>
        <v>357</v>
      </c>
      <c r="K37">
        <f>' Field Task'!G75</f>
        <v>0</v>
      </c>
      <c r="L37">
        <f>'Form "B" Field'!J45</f>
        <v>0</v>
      </c>
      <c r="M37">
        <f t="shared" si="0"/>
        <v>0</v>
      </c>
      <c r="N37">
        <f t="shared" si="1"/>
        <v>0</v>
      </c>
      <c r="O37">
        <f t="shared" si="2"/>
        <v>0</v>
      </c>
      <c r="P37">
        <f t="shared" si="3"/>
        <v>0</v>
      </c>
      <c r="R37" s="17"/>
    </row>
    <row r="38" spans="2:18" x14ac:dyDescent="0.25">
      <c r="B38" s="51" t="s">
        <v>816</v>
      </c>
      <c r="J38">
        <f>' Field Task'!C77</f>
        <v>561</v>
      </c>
      <c r="K38">
        <f>' Field Task'!G77</f>
        <v>0</v>
      </c>
      <c r="L38">
        <f>'Form "B" Field'!J46</f>
        <v>0</v>
      </c>
      <c r="M38">
        <f>H38*L38</f>
        <v>0</v>
      </c>
      <c r="N38">
        <f>I38*L38</f>
        <v>0</v>
      </c>
      <c r="O38">
        <f>J38*L38</f>
        <v>0</v>
      </c>
      <c r="P38">
        <f>K38*L38</f>
        <v>0</v>
      </c>
      <c r="R38" s="17"/>
    </row>
    <row r="39" spans="2:18" x14ac:dyDescent="0.25">
      <c r="B39" s="10" t="s">
        <v>669</v>
      </c>
      <c r="J39">
        <f>('Maximum Rates'!D7*10)</f>
        <v>1020</v>
      </c>
      <c r="L39">
        <f>'Form "B" Field'!J47</f>
        <v>0</v>
      </c>
      <c r="M39">
        <f>H39*L39</f>
        <v>0</v>
      </c>
      <c r="N39">
        <f t="shared" si="1"/>
        <v>0</v>
      </c>
      <c r="O39">
        <f t="shared" si="2"/>
        <v>0</v>
      </c>
      <c r="P39">
        <f t="shared" si="3"/>
        <v>0</v>
      </c>
      <c r="R39" s="17"/>
    </row>
    <row r="40" spans="2:18" x14ac:dyDescent="0.25">
      <c r="B40" s="51" t="s">
        <v>1037</v>
      </c>
      <c r="I40">
        <f>' Field Task'!C141</f>
        <v>420</v>
      </c>
      <c r="J40">
        <f>('Maximum Rates'!D7*10)</f>
        <v>1020</v>
      </c>
      <c r="L40">
        <f>'Form "B" Field'!J48</f>
        <v>0</v>
      </c>
      <c r="M40">
        <f>H40*L40</f>
        <v>0</v>
      </c>
      <c r="N40">
        <f>I40*L40</f>
        <v>0</v>
      </c>
      <c r="O40">
        <f>J40*L40</f>
        <v>0</v>
      </c>
      <c r="P40">
        <f>K40*L40</f>
        <v>0</v>
      </c>
      <c r="R40" s="17"/>
    </row>
    <row r="41" spans="2:18" x14ac:dyDescent="0.25">
      <c r="B41" s="10" t="s">
        <v>440</v>
      </c>
      <c r="J41">
        <f>' Field Task'!C89</f>
        <v>0</v>
      </c>
      <c r="K41">
        <f>' Field Task'!G89</f>
        <v>111</v>
      </c>
      <c r="L41">
        <f>'Form "B" Field'!J50</f>
        <v>0</v>
      </c>
      <c r="M41">
        <f t="shared" si="0"/>
        <v>0</v>
      </c>
      <c r="N41">
        <f t="shared" si="1"/>
        <v>0</v>
      </c>
      <c r="O41">
        <f t="shared" si="2"/>
        <v>0</v>
      </c>
      <c r="P41">
        <f t="shared" si="3"/>
        <v>0</v>
      </c>
      <c r="R41" s="17"/>
    </row>
    <row r="42" spans="2:18" x14ac:dyDescent="0.25">
      <c r="B42" s="10" t="s">
        <v>356</v>
      </c>
      <c r="J42">
        <f>' Field Task'!C87</f>
        <v>204</v>
      </c>
      <c r="K42">
        <f>' Field Task'!G87</f>
        <v>148</v>
      </c>
      <c r="L42">
        <f>'Form "B" Field'!J51</f>
        <v>0</v>
      </c>
      <c r="M42">
        <f t="shared" si="0"/>
        <v>0</v>
      </c>
      <c r="N42">
        <f t="shared" si="1"/>
        <v>0</v>
      </c>
      <c r="O42">
        <f t="shared" si="2"/>
        <v>0</v>
      </c>
      <c r="P42">
        <f t="shared" si="3"/>
        <v>0</v>
      </c>
      <c r="R42" s="17"/>
    </row>
    <row r="43" spans="2:18" x14ac:dyDescent="0.25">
      <c r="B43" s="10" t="s">
        <v>523</v>
      </c>
      <c r="J43">
        <f>' Field Task'!C83</f>
        <v>408</v>
      </c>
      <c r="K43">
        <f>' Field Task'!G83</f>
        <v>0</v>
      </c>
      <c r="L43">
        <f>'Form "B" Field'!J52</f>
        <v>0</v>
      </c>
      <c r="M43">
        <f t="shared" si="0"/>
        <v>0</v>
      </c>
      <c r="N43">
        <f t="shared" si="1"/>
        <v>0</v>
      </c>
      <c r="O43">
        <f t="shared" si="2"/>
        <v>0</v>
      </c>
      <c r="P43">
        <f t="shared" si="3"/>
        <v>0</v>
      </c>
      <c r="R43" s="17"/>
    </row>
    <row r="44" spans="2:18" x14ac:dyDescent="0.25">
      <c r="B44" s="10" t="s">
        <v>522</v>
      </c>
      <c r="K44">
        <f>' Field Task'!G85</f>
        <v>296</v>
      </c>
      <c r="L44">
        <f>'Form "B" Field'!J53</f>
        <v>0</v>
      </c>
      <c r="M44">
        <f t="shared" si="0"/>
        <v>0</v>
      </c>
      <c r="N44">
        <f t="shared" si="1"/>
        <v>0</v>
      </c>
      <c r="O44">
        <f t="shared" si="2"/>
        <v>0</v>
      </c>
      <c r="P44">
        <f t="shared" si="3"/>
        <v>0</v>
      </c>
      <c r="R44" s="17"/>
    </row>
    <row r="45" spans="2:18" x14ac:dyDescent="0.25">
      <c r="B45" s="30" t="s">
        <v>320</v>
      </c>
      <c r="J45">
        <f>' Field Task'!C128</f>
        <v>102</v>
      </c>
      <c r="L45">
        <f>'Form "B" Field'!J54</f>
        <v>0</v>
      </c>
      <c r="M45">
        <f t="shared" si="0"/>
        <v>0</v>
      </c>
      <c r="N45">
        <f t="shared" si="1"/>
        <v>0</v>
      </c>
      <c r="O45">
        <f t="shared" si="2"/>
        <v>0</v>
      </c>
      <c r="P45">
        <f t="shared" si="3"/>
        <v>0</v>
      </c>
      <c r="R45" s="17"/>
    </row>
    <row r="46" spans="2:18" x14ac:dyDescent="0.25">
      <c r="B46" s="10" t="s">
        <v>495</v>
      </c>
      <c r="J46">
        <f>' Field Task'!C124</f>
        <v>306</v>
      </c>
      <c r="L46">
        <f>'Form "B" Field'!J55</f>
        <v>0</v>
      </c>
      <c r="M46">
        <f t="shared" si="0"/>
        <v>0</v>
      </c>
      <c r="N46">
        <f t="shared" si="1"/>
        <v>0</v>
      </c>
      <c r="O46">
        <f t="shared" si="2"/>
        <v>0</v>
      </c>
      <c r="P46">
        <f t="shared" si="3"/>
        <v>0</v>
      </c>
      <c r="R46" s="17"/>
    </row>
    <row r="47" spans="2:18" x14ac:dyDescent="0.25">
      <c r="B47" s="10" t="s">
        <v>496</v>
      </c>
      <c r="J47">
        <f>' Field Task'!C126</f>
        <v>153</v>
      </c>
      <c r="L47">
        <f>'Form "B" Field'!J56</f>
        <v>0</v>
      </c>
      <c r="M47">
        <f>H47*L47</f>
        <v>0</v>
      </c>
      <c r="N47">
        <f>I47*L47</f>
        <v>0</v>
      </c>
      <c r="O47">
        <f>J47*L47</f>
        <v>0</v>
      </c>
      <c r="P47">
        <f>K47*L47</f>
        <v>0</v>
      </c>
      <c r="R47" s="17"/>
    </row>
    <row r="48" spans="2:18" x14ac:dyDescent="0.25">
      <c r="B48" s="51" t="s">
        <v>60</v>
      </c>
      <c r="K48">
        <f>' Field Task'!G81</f>
        <v>148</v>
      </c>
      <c r="L48">
        <f>'Form "B" Field'!J57</f>
        <v>0</v>
      </c>
      <c r="M48">
        <f t="shared" si="0"/>
        <v>0</v>
      </c>
      <c r="N48">
        <f t="shared" si="1"/>
        <v>0</v>
      </c>
      <c r="O48">
        <f t="shared" si="2"/>
        <v>0</v>
      </c>
      <c r="P48">
        <f t="shared" si="3"/>
        <v>0</v>
      </c>
      <c r="R48" s="17"/>
    </row>
    <row r="49" spans="2:18" x14ac:dyDescent="0.25">
      <c r="B49" s="10" t="s">
        <v>670</v>
      </c>
      <c r="K49">
        <f>' Field Task'!G91</f>
        <v>148</v>
      </c>
      <c r="L49">
        <f>'Form "B" Field'!J58</f>
        <v>0</v>
      </c>
      <c r="M49">
        <f t="shared" si="0"/>
        <v>0</v>
      </c>
      <c r="N49">
        <f t="shared" si="1"/>
        <v>0</v>
      </c>
      <c r="O49">
        <f t="shared" si="2"/>
        <v>0</v>
      </c>
      <c r="P49">
        <f t="shared" si="3"/>
        <v>0</v>
      </c>
      <c r="R49" s="17"/>
    </row>
    <row r="50" spans="2:18" x14ac:dyDescent="0.25">
      <c r="B50" s="51" t="s">
        <v>1228</v>
      </c>
      <c r="K50">
        <f>' Field Task'!G93</f>
        <v>111</v>
      </c>
      <c r="L50">
        <f>'Form "B" Field'!J59</f>
        <v>0</v>
      </c>
      <c r="M50">
        <f>H50*L50</f>
        <v>0</v>
      </c>
      <c r="N50">
        <f>I50*L50</f>
        <v>0</v>
      </c>
      <c r="O50">
        <f>J50*L50</f>
        <v>0</v>
      </c>
      <c r="P50">
        <f>K50*L50</f>
        <v>0</v>
      </c>
      <c r="R50" s="17"/>
    </row>
    <row r="51" spans="2:18" x14ac:dyDescent="0.25">
      <c r="B51" s="10" t="s">
        <v>396</v>
      </c>
      <c r="K51">
        <f>' Field Task'!G95</f>
        <v>18.5</v>
      </c>
      <c r="L51">
        <f>'Form "B" Field'!J60</f>
        <v>0</v>
      </c>
      <c r="M51">
        <f t="shared" si="0"/>
        <v>0</v>
      </c>
      <c r="N51">
        <f t="shared" si="1"/>
        <v>0</v>
      </c>
      <c r="O51">
        <f t="shared" si="2"/>
        <v>0</v>
      </c>
      <c r="P51">
        <f t="shared" si="3"/>
        <v>0</v>
      </c>
      <c r="R51" s="17"/>
    </row>
    <row r="52" spans="2:18" x14ac:dyDescent="0.25">
      <c r="B52" s="10" t="s">
        <v>549</v>
      </c>
      <c r="K52">
        <f>' Field Task'!G97</f>
        <v>74</v>
      </c>
      <c r="L52">
        <f>'Form "B" Field'!J61</f>
        <v>0</v>
      </c>
      <c r="M52">
        <f t="shared" si="0"/>
        <v>0</v>
      </c>
      <c r="N52">
        <f t="shared" si="1"/>
        <v>0</v>
      </c>
      <c r="O52">
        <f>J52*L52</f>
        <v>0</v>
      </c>
      <c r="P52">
        <f t="shared" si="3"/>
        <v>0</v>
      </c>
      <c r="R52" s="17"/>
    </row>
    <row r="53" spans="2:18" x14ac:dyDescent="0.25">
      <c r="B53" s="10" t="s">
        <v>550</v>
      </c>
      <c r="K53">
        <f>' Field Task'!G99</f>
        <v>85.1</v>
      </c>
      <c r="L53">
        <f>'Form "B" Field'!J62</f>
        <v>0</v>
      </c>
      <c r="M53">
        <f t="shared" si="0"/>
        <v>0</v>
      </c>
      <c r="N53">
        <f t="shared" si="1"/>
        <v>0</v>
      </c>
      <c r="O53">
        <f t="shared" si="2"/>
        <v>0</v>
      </c>
      <c r="P53">
        <f t="shared" si="3"/>
        <v>0</v>
      </c>
      <c r="R53" s="17"/>
    </row>
    <row r="54" spans="2:18" x14ac:dyDescent="0.25">
      <c r="B54" s="10" t="s">
        <v>575</v>
      </c>
      <c r="F54" s="47"/>
      <c r="K54">
        <f>' Field Task'!G101</f>
        <v>92.5</v>
      </c>
      <c r="L54">
        <f>'Form "B" Field'!J63</f>
        <v>0</v>
      </c>
      <c r="M54">
        <f t="shared" si="0"/>
        <v>0</v>
      </c>
      <c r="N54">
        <f t="shared" si="1"/>
        <v>0</v>
      </c>
      <c r="O54">
        <f t="shared" si="2"/>
        <v>0</v>
      </c>
      <c r="P54">
        <f t="shared" si="3"/>
        <v>0</v>
      </c>
      <c r="R54" s="17"/>
    </row>
    <row r="55" spans="2:18" x14ac:dyDescent="0.25">
      <c r="B55" s="10" t="s">
        <v>118</v>
      </c>
      <c r="F55" s="47"/>
      <c r="K55">
        <f>' Field Task'!G103</f>
        <v>148</v>
      </c>
      <c r="L55">
        <f>'Form "B" Field'!J64</f>
        <v>0</v>
      </c>
      <c r="M55">
        <f>H55*L55</f>
        <v>0</v>
      </c>
      <c r="N55">
        <f>I55*L55</f>
        <v>0</v>
      </c>
      <c r="O55">
        <f>J55*L55</f>
        <v>0</v>
      </c>
      <c r="P55">
        <f>K55*L55</f>
        <v>0</v>
      </c>
      <c r="R55" s="17"/>
    </row>
    <row r="56" spans="2:18" x14ac:dyDescent="0.25">
      <c r="B56" s="10" t="s">
        <v>119</v>
      </c>
      <c r="F56" s="47"/>
      <c r="K56">
        <f>' Field Task'!G105</f>
        <v>111</v>
      </c>
      <c r="L56">
        <f>'Form "B" Field'!J65</f>
        <v>0</v>
      </c>
      <c r="M56">
        <f>H56*L56</f>
        <v>0</v>
      </c>
      <c r="N56">
        <f>I56*L56</f>
        <v>0</v>
      </c>
      <c r="O56">
        <f>J56*L56</f>
        <v>0</v>
      </c>
      <c r="P56">
        <f>K56*L56</f>
        <v>0</v>
      </c>
      <c r="R56" s="17"/>
    </row>
    <row r="57" spans="2:18" x14ac:dyDescent="0.25">
      <c r="B57" s="10" t="s">
        <v>120</v>
      </c>
      <c r="F57" s="47"/>
      <c r="K57">
        <f>' Field Task'!G107</f>
        <v>111</v>
      </c>
      <c r="L57">
        <f>'Form "B" Field'!J66</f>
        <v>0</v>
      </c>
      <c r="M57">
        <f>H57*L57</f>
        <v>0</v>
      </c>
      <c r="N57">
        <f>I57*L57</f>
        <v>0</v>
      </c>
      <c r="O57">
        <f>J57*L57</f>
        <v>0</v>
      </c>
      <c r="P57">
        <f>K57*L57</f>
        <v>0</v>
      </c>
      <c r="R57" s="17"/>
    </row>
    <row r="58" spans="2:18" x14ac:dyDescent="0.25">
      <c r="B58" s="51" t="s">
        <v>1086</v>
      </c>
      <c r="F58" s="47"/>
      <c r="J58">
        <f>' Field Task'!C109</f>
        <v>204</v>
      </c>
      <c r="K58">
        <f>' Field Task'!G108</f>
        <v>0</v>
      </c>
      <c r="L58">
        <f>'Form "B" Field'!J67</f>
        <v>0</v>
      </c>
      <c r="M58">
        <f>H58*L58</f>
        <v>0</v>
      </c>
      <c r="N58">
        <f>I58*L58</f>
        <v>0</v>
      </c>
      <c r="O58">
        <f>J58*L58</f>
        <v>0</v>
      </c>
      <c r="P58">
        <f>K58*L58</f>
        <v>0</v>
      </c>
      <c r="R58" s="17"/>
    </row>
    <row r="59" spans="2:18" x14ac:dyDescent="0.25">
      <c r="B59" s="51" t="s">
        <v>1087</v>
      </c>
      <c r="F59" s="47"/>
      <c r="J59">
        <f>' Field Task'!C111</f>
        <v>102</v>
      </c>
      <c r="K59">
        <f>' Field Task'!G109</f>
        <v>0</v>
      </c>
      <c r="L59">
        <f>'Form "B" Field'!J68</f>
        <v>0</v>
      </c>
      <c r="M59">
        <f>H59*L59</f>
        <v>0</v>
      </c>
      <c r="N59">
        <f>I59*L59</f>
        <v>0</v>
      </c>
      <c r="O59">
        <f>J59*L59</f>
        <v>0</v>
      </c>
      <c r="P59">
        <f>K59*L59</f>
        <v>0</v>
      </c>
      <c r="R59" s="17"/>
    </row>
    <row r="60" spans="2:18" x14ac:dyDescent="0.25">
      <c r="B60" s="50" t="s">
        <v>42</v>
      </c>
      <c r="F60" s="47"/>
      <c r="K60">
        <f>'Maximum Rates'!D9</f>
        <v>74</v>
      </c>
      <c r="L60">
        <f>'Form "B" Field'!J69</f>
        <v>0</v>
      </c>
      <c r="M60">
        <f t="shared" si="0"/>
        <v>0</v>
      </c>
      <c r="N60">
        <f t="shared" si="1"/>
        <v>0</v>
      </c>
      <c r="O60">
        <f t="shared" si="2"/>
        <v>0</v>
      </c>
      <c r="P60">
        <f t="shared" si="3"/>
        <v>0</v>
      </c>
      <c r="R60" s="17"/>
    </row>
    <row r="61" spans="2:18" x14ac:dyDescent="0.25">
      <c r="B61" s="50" t="s">
        <v>44</v>
      </c>
      <c r="F61" s="47"/>
      <c r="J61">
        <f>'Maximum Rates'!D7</f>
        <v>102</v>
      </c>
      <c r="K61">
        <f>'Maximum Rates'!D9</f>
        <v>74</v>
      </c>
      <c r="L61">
        <f>'Form "B" Field'!J70</f>
        <v>0</v>
      </c>
      <c r="M61">
        <f t="shared" si="0"/>
        <v>0</v>
      </c>
      <c r="N61">
        <f t="shared" si="1"/>
        <v>0</v>
      </c>
      <c r="O61">
        <f t="shared" si="2"/>
        <v>0</v>
      </c>
      <c r="P61">
        <f t="shared" si="3"/>
        <v>0</v>
      </c>
      <c r="R61" s="17"/>
    </row>
    <row r="62" spans="2:18" x14ac:dyDescent="0.25">
      <c r="B62" s="10" t="s">
        <v>516</v>
      </c>
      <c r="J62">
        <f>' Field Task'!C114</f>
        <v>918</v>
      </c>
      <c r="K62">
        <f>' Field Task'!G114</f>
        <v>0</v>
      </c>
      <c r="L62">
        <f>'Form "B" Field'!J71</f>
        <v>0</v>
      </c>
      <c r="M62">
        <f t="shared" si="0"/>
        <v>0</v>
      </c>
      <c r="N62">
        <f t="shared" si="1"/>
        <v>0</v>
      </c>
      <c r="O62">
        <f t="shared" si="2"/>
        <v>0</v>
      </c>
      <c r="P62">
        <f t="shared" si="3"/>
        <v>0</v>
      </c>
      <c r="R62" s="17"/>
    </row>
    <row r="63" spans="2:18" x14ac:dyDescent="0.25">
      <c r="B63" s="10" t="s">
        <v>517</v>
      </c>
      <c r="H63">
        <f>'Corrective Action Plans'!L161</f>
        <v>0</v>
      </c>
      <c r="I63">
        <f>'Corrective Action Plans'!L164</f>
        <v>1120</v>
      </c>
      <c r="J63">
        <f>'Corrective Action Plans'!L167</f>
        <v>0</v>
      </c>
      <c r="K63">
        <f>'Corrective Action Plans'!L170</f>
        <v>0</v>
      </c>
      <c r="L63">
        <f>'Form "B" Field'!J72</f>
        <v>0</v>
      </c>
      <c r="M63">
        <f t="shared" si="0"/>
        <v>0</v>
      </c>
      <c r="N63">
        <f t="shared" si="1"/>
        <v>0</v>
      </c>
      <c r="O63">
        <f t="shared" si="2"/>
        <v>0</v>
      </c>
      <c r="P63">
        <f t="shared" si="3"/>
        <v>0</v>
      </c>
      <c r="R63" s="17"/>
    </row>
    <row r="64" spans="2:18" x14ac:dyDescent="0.25">
      <c r="B64" s="10" t="s">
        <v>486</v>
      </c>
      <c r="H64">
        <f>' Field Task'!C131</f>
        <v>1952</v>
      </c>
      <c r="I64">
        <f>' Field Task'!C132</f>
        <v>1120</v>
      </c>
      <c r="K64">
        <f>' Field Task'!C133</f>
        <v>7140</v>
      </c>
      <c r="L64">
        <f>'Form "B" Field'!J73</f>
        <v>0</v>
      </c>
      <c r="M64">
        <f>H64*L64</f>
        <v>0</v>
      </c>
      <c r="N64">
        <f>I64*L64</f>
        <v>0</v>
      </c>
      <c r="O64">
        <f>J64*L64</f>
        <v>0</v>
      </c>
      <c r="P64">
        <f>K64*L64</f>
        <v>0</v>
      </c>
      <c r="R64" s="17"/>
    </row>
    <row r="65" spans="2:18" x14ac:dyDescent="0.25">
      <c r="B65" s="10" t="s">
        <v>487</v>
      </c>
      <c r="H65">
        <f>' Field Task'!C136</f>
        <v>122</v>
      </c>
      <c r="I65">
        <f>' Field Task'!C137</f>
        <v>0</v>
      </c>
      <c r="K65">
        <f>' Field Task'!C138</f>
        <v>1020</v>
      </c>
      <c r="L65">
        <f>'Form "B" Field'!J74</f>
        <v>0</v>
      </c>
      <c r="M65">
        <f>H65*L65</f>
        <v>0</v>
      </c>
      <c r="N65">
        <f>I65*L65</f>
        <v>0</v>
      </c>
      <c r="O65">
        <f>J65*L65</f>
        <v>0</v>
      </c>
      <c r="P65">
        <f>K65*L65</f>
        <v>0</v>
      </c>
      <c r="R65" s="17"/>
    </row>
    <row r="66" spans="2:18" x14ac:dyDescent="0.25">
      <c r="B66" s="10" t="s">
        <v>488</v>
      </c>
      <c r="H66">
        <f>' Field Task'!I131</f>
        <v>1952</v>
      </c>
      <c r="I66">
        <f>' Field Task'!I132</f>
        <v>0</v>
      </c>
      <c r="K66">
        <f>' Field Task'!I133</f>
        <v>0</v>
      </c>
      <c r="L66">
        <f>'Form "B" Field'!J75</f>
        <v>0</v>
      </c>
      <c r="M66">
        <f>H66*L66</f>
        <v>0</v>
      </c>
      <c r="N66">
        <f>I66*L66</f>
        <v>0</v>
      </c>
      <c r="O66">
        <f>J66*L66</f>
        <v>0</v>
      </c>
      <c r="P66">
        <f>K66*L66</f>
        <v>0</v>
      </c>
      <c r="R66" s="17"/>
    </row>
    <row r="67" spans="2:18" x14ac:dyDescent="0.25">
      <c r="B67" s="51" t="s">
        <v>1088</v>
      </c>
      <c r="H67">
        <f>' Field Task'!I136</f>
        <v>122</v>
      </c>
      <c r="I67">
        <f>' Field Task'!I133</f>
        <v>0</v>
      </c>
      <c r="J67">
        <f>' Field Task'!I137</f>
        <v>70</v>
      </c>
      <c r="K67">
        <f>' Field Task'!I138</f>
        <v>1020</v>
      </c>
      <c r="L67">
        <f>'Form "B" Field'!J76</f>
        <v>0</v>
      </c>
      <c r="M67">
        <f>H67*L67</f>
        <v>0</v>
      </c>
      <c r="N67">
        <f>I67*L67</f>
        <v>0</v>
      </c>
      <c r="O67">
        <f>J67*L67</f>
        <v>0</v>
      </c>
      <c r="P67">
        <f>K67*L67</f>
        <v>0</v>
      </c>
      <c r="R67" s="17"/>
    </row>
    <row r="68" spans="2:18" x14ac:dyDescent="0.25">
      <c r="B68" s="10" t="s">
        <v>520</v>
      </c>
      <c r="F68" s="44"/>
      <c r="H68">
        <f>' Field Task'!C116</f>
        <v>976</v>
      </c>
      <c r="K68">
        <f>' Field Task'!G116</f>
        <v>3552</v>
      </c>
      <c r="L68">
        <f>'Form "B" Field'!J77</f>
        <v>0</v>
      </c>
      <c r="M68">
        <f t="shared" si="0"/>
        <v>0</v>
      </c>
      <c r="N68">
        <f t="shared" si="1"/>
        <v>0</v>
      </c>
      <c r="O68">
        <f t="shared" si="2"/>
        <v>0</v>
      </c>
      <c r="P68">
        <f t="shared" si="3"/>
        <v>0</v>
      </c>
      <c r="R68" s="17"/>
    </row>
    <row r="69" spans="2:18" x14ac:dyDescent="0.25">
      <c r="B69" s="51" t="s">
        <v>57</v>
      </c>
      <c r="F69" s="44"/>
      <c r="H69">
        <f>' Field Task'!C120</f>
        <v>976</v>
      </c>
      <c r="K69">
        <f>' Field Task'!G120</f>
        <v>4736</v>
      </c>
      <c r="L69">
        <f>'Form "B" Field'!J78</f>
        <v>0</v>
      </c>
      <c r="M69">
        <f t="shared" si="0"/>
        <v>0</v>
      </c>
      <c r="N69">
        <f t="shared" si="1"/>
        <v>0</v>
      </c>
      <c r="O69">
        <f t="shared" si="2"/>
        <v>0</v>
      </c>
      <c r="P69">
        <f t="shared" si="3"/>
        <v>0</v>
      </c>
      <c r="R69" s="17"/>
    </row>
    <row r="70" spans="2:18" x14ac:dyDescent="0.25">
      <c r="B70" s="10" t="s">
        <v>521</v>
      </c>
      <c r="H70">
        <f>' Field Task'!C118</f>
        <v>488</v>
      </c>
      <c r="K70">
        <f>' Field Task'!G118</f>
        <v>1776</v>
      </c>
      <c r="L70">
        <f>'Form "B" Field'!J79</f>
        <v>0</v>
      </c>
      <c r="M70">
        <f t="shared" si="0"/>
        <v>0</v>
      </c>
      <c r="N70">
        <f t="shared" si="1"/>
        <v>0</v>
      </c>
      <c r="O70">
        <f t="shared" si="2"/>
        <v>0</v>
      </c>
      <c r="P70">
        <f t="shared" si="3"/>
        <v>0</v>
      </c>
      <c r="R70" s="17"/>
    </row>
    <row r="71" spans="2:18" ht="13.8" thickBot="1" x14ac:dyDescent="0.3">
      <c r="B71" s="52" t="s">
        <v>59</v>
      </c>
      <c r="C71" s="14"/>
      <c r="D71" s="14"/>
      <c r="E71" s="14"/>
      <c r="F71" s="14"/>
      <c r="H71">
        <f>' Field Task'!C122</f>
        <v>488</v>
      </c>
      <c r="K71">
        <f>' Field Task'!G122</f>
        <v>2368</v>
      </c>
      <c r="L71">
        <f>'Form "B" Field'!J80</f>
        <v>0</v>
      </c>
      <c r="M71">
        <f t="shared" si="0"/>
        <v>0</v>
      </c>
      <c r="N71">
        <f t="shared" si="1"/>
        <v>0</v>
      </c>
      <c r="O71">
        <f t="shared" si="2"/>
        <v>0</v>
      </c>
      <c r="P71">
        <f t="shared" si="3"/>
        <v>0</v>
      </c>
      <c r="R71" s="17"/>
    </row>
    <row r="72" spans="2:18" x14ac:dyDescent="0.25">
      <c r="B72" s="10"/>
      <c r="R72" s="17"/>
    </row>
    <row r="73" spans="2:18" x14ac:dyDescent="0.25">
      <c r="B73" s="10"/>
      <c r="R73" s="17"/>
    </row>
    <row r="74" spans="2:18" x14ac:dyDescent="0.25">
      <c r="B74" s="10"/>
      <c r="M74">
        <f>SUM(M4:M73)+(('Form "F" Details'!J73*'Maximum Rates'!D5)*'Maximum Rates'!C46)+('Form "F" Details'!J29*'Maximum Rates'!D5)</f>
        <v>0</v>
      </c>
      <c r="N74">
        <f>SUM(N4:N73)+('Form "F" Details'!J33*'Maximum Rates'!D6)+(('Form "F" Details'!J81*'Maximum Rates'!D6)*'Maximum Rates'!C46)</f>
        <v>0</v>
      </c>
      <c r="O74">
        <f>SUM(O4:O73)+('Form "F" Details'!J36*'Maximum Rates'!D7)+(('Form "F" Details'!J87*'Maximum Rates'!D7)*'Maximum Rates'!C46)</f>
        <v>0</v>
      </c>
      <c r="P74">
        <f>(SUM(P4:P73))+(('Form "F" Details'!J99*'Maximum Rates'!D9)*'Maximum Rates'!C46)+('Form "F" Details'!J42*'Maximum Rates'!D9)</f>
        <v>0</v>
      </c>
      <c r="R74" s="17"/>
    </row>
    <row r="75" spans="2:18" x14ac:dyDescent="0.25">
      <c r="B75" s="10"/>
      <c r="R75" s="17"/>
    </row>
    <row r="76" spans="2:18" ht="13.8" thickBot="1" x14ac:dyDescent="0.3">
      <c r="B76" s="13"/>
      <c r="C76" s="14"/>
      <c r="D76" s="14"/>
      <c r="E76" s="14"/>
      <c r="F76" s="14"/>
      <c r="G76" s="14"/>
      <c r="H76" s="14"/>
      <c r="I76" s="14"/>
      <c r="J76" s="14"/>
      <c r="K76" s="14"/>
      <c r="L76" s="14"/>
      <c r="M76" s="14">
        <f>M74/'Maximum Rates'!D5</f>
        <v>0</v>
      </c>
      <c r="N76" s="14">
        <f>N74/'Maximum Rates'!D6</f>
        <v>0</v>
      </c>
      <c r="O76" s="14">
        <f>O74/'Maximum Rates'!D7</f>
        <v>0</v>
      </c>
      <c r="P76" s="14">
        <f>P74/'Maximum Rates'!D9</f>
        <v>0</v>
      </c>
      <c r="Q76" s="14"/>
      <c r="R76" s="63">
        <f>SUM(M76:P76)</f>
        <v>0</v>
      </c>
    </row>
    <row r="84" spans="10:10" x14ac:dyDescent="0.25">
      <c r="J84" s="44"/>
    </row>
    <row r="91" spans="10:10" hidden="1" x14ac:dyDescent="0.25"/>
    <row r="92" spans="10:10" hidden="1" x14ac:dyDescent="0.25"/>
    <row r="93" spans="10:10" hidden="1" x14ac:dyDescent="0.25"/>
    <row r="94" spans="10:10" hidden="1" x14ac:dyDescent="0.25"/>
    <row r="95" spans="10:10" hidden="1" x14ac:dyDescent="0.25"/>
    <row r="96" spans="10:10" hidden="1" x14ac:dyDescent="0.25"/>
    <row r="97" hidden="1" x14ac:dyDescent="0.25"/>
    <row r="98" hidden="1" x14ac:dyDescent="0.25"/>
    <row r="99" hidden="1" x14ac:dyDescent="0.25"/>
  </sheetData>
  <customSheetViews>
    <customSheetView guid="{BC429C65-53B8-4F97-88D2-74ECCD734800}" hiddenRows="1" state="veryHidden" topLeftCell="E1">
      <pane ySplit="2" topLeftCell="A12" activePane="bottomLeft" state="frozen"/>
      <selection pane="bottomLeft" activeCell="A3" sqref="A3"/>
      <pageMargins left="0.7" right="0.7" top="0.75" bottom="0.75" header="0.3" footer="0.3"/>
      <pageSetup orientation="portrait" r:id="rId1"/>
    </customSheetView>
  </customSheetViews>
  <phoneticPr fontId="4" type="noConversion"/>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7:S103"/>
  <sheetViews>
    <sheetView workbookViewId="0">
      <pane ySplit="7" topLeftCell="A71" activePane="bottomLeft" state="frozen"/>
      <selection activeCell="B3" sqref="B3:J3"/>
      <selection pane="bottomLeft" activeCell="L95" sqref="L95"/>
    </sheetView>
  </sheetViews>
  <sheetFormatPr defaultRowHeight="13.2" x14ac:dyDescent="0.25"/>
  <sheetData>
    <row r="7" spans="1:18" x14ac:dyDescent="0.25">
      <c r="E7" s="44" t="s">
        <v>1038</v>
      </c>
      <c r="F7" s="48" t="s">
        <v>3</v>
      </c>
      <c r="G7" s="48" t="s">
        <v>4</v>
      </c>
      <c r="H7" s="48" t="s">
        <v>5</v>
      </c>
      <c r="I7" s="48" t="s">
        <v>6</v>
      </c>
      <c r="J7" s="48" t="s">
        <v>7</v>
      </c>
      <c r="M7" s="48" t="s">
        <v>3</v>
      </c>
      <c r="N7" s="48" t="s">
        <v>357</v>
      </c>
      <c r="O7" s="48" t="s">
        <v>8</v>
      </c>
      <c r="P7" s="48" t="s">
        <v>6</v>
      </c>
      <c r="Q7" s="48" t="s">
        <v>9</v>
      </c>
      <c r="R7" s="44" t="s">
        <v>1038</v>
      </c>
    </row>
    <row r="8" spans="1:18" x14ac:dyDescent="0.25">
      <c r="A8" s="10" t="s">
        <v>576</v>
      </c>
    </row>
    <row r="9" spans="1:18" x14ac:dyDescent="0.25">
      <c r="A9" s="10"/>
      <c r="B9" t="s">
        <v>432</v>
      </c>
      <c r="F9">
        <f>IF($L9&gt;=1,'Initial Abatement'!L3,0)</f>
        <v>0</v>
      </c>
      <c r="G9">
        <f>IF(L9&gt;=1,'Initial Abatement'!L8,0)</f>
        <v>0</v>
      </c>
      <c r="H9">
        <f>IF(L9&gt;=1,'Initial Abatement'!L11,0)</f>
        <v>0</v>
      </c>
      <c r="I9">
        <f>IF(L9&gt;=1,'Initial Abatement'!L14,0)</f>
        <v>0</v>
      </c>
      <c r="J9">
        <f>IF(L9&gt;=1,'Initial Abatement'!L17,0)</f>
        <v>0</v>
      </c>
      <c r="K9">
        <f>SUM(F9:J9)</f>
        <v>0</v>
      </c>
      <c r="L9">
        <f>'Form "A" Office'!J9</f>
        <v>0</v>
      </c>
      <c r="M9">
        <f>F9*L9</f>
        <v>0</v>
      </c>
      <c r="N9">
        <f>G9*L9</f>
        <v>0</v>
      </c>
      <c r="O9">
        <f>H9*L9</f>
        <v>0</v>
      </c>
      <c r="P9">
        <f>I9*L9</f>
        <v>0</v>
      </c>
      <c r="Q9">
        <f>J9*L9</f>
        <v>0</v>
      </c>
    </row>
    <row r="10" spans="1:18" x14ac:dyDescent="0.25">
      <c r="A10" s="10"/>
      <c r="B10" t="s">
        <v>404</v>
      </c>
      <c r="F10">
        <f>IF(L10&gt;=1,'Initial Abatement'!D44,0)</f>
        <v>0</v>
      </c>
      <c r="G10">
        <f>IF(L10&gt;=1,'Initial Abatement'!D42,0)</f>
        <v>0</v>
      </c>
      <c r="H10">
        <f>IF(L10&gt;=1,'Initial Abatement'!D43,0)</f>
        <v>0</v>
      </c>
      <c r="J10">
        <f>IF(L10&gt;=1,'Initial Abatement'!D45,0)</f>
        <v>0</v>
      </c>
      <c r="K10">
        <f t="shared" ref="K10:K71" si="0">SUM(F10:J10)</f>
        <v>0</v>
      </c>
      <c r="L10">
        <f>'Form "A" Office'!J10</f>
        <v>0</v>
      </c>
      <c r="M10">
        <f t="shared" ref="M10:M71" si="1">F10*L10</f>
        <v>0</v>
      </c>
      <c r="N10">
        <f t="shared" ref="N10:N71" si="2">G10*L10</f>
        <v>0</v>
      </c>
      <c r="O10">
        <f t="shared" ref="O10:O71" si="3">H10*L10</f>
        <v>0</v>
      </c>
      <c r="P10">
        <f t="shared" ref="P10:P71" si="4">I10*L10</f>
        <v>0</v>
      </c>
      <c r="Q10">
        <f t="shared" ref="Q10:Q71" si="5">J10*L10</f>
        <v>0</v>
      </c>
    </row>
    <row r="11" spans="1:18" x14ac:dyDescent="0.25">
      <c r="A11" s="51" t="s">
        <v>576</v>
      </c>
      <c r="F11">
        <f>'Initial Abatement'!L23</f>
        <v>122</v>
      </c>
      <c r="G11">
        <f>'Initial Abatement'!L28</f>
        <v>140</v>
      </c>
      <c r="H11">
        <f>'Initial Abatement'!L31</f>
        <v>102</v>
      </c>
      <c r="I11">
        <f>'Initial Abatement'!L34</f>
        <v>74</v>
      </c>
      <c r="J11">
        <f>'Initial Abatement'!L37</f>
        <v>120</v>
      </c>
      <c r="K11">
        <f t="shared" si="0"/>
        <v>558</v>
      </c>
      <c r="L11">
        <f>'Form "A" Office'!J11</f>
        <v>0</v>
      </c>
      <c r="M11">
        <f>F11*L11</f>
        <v>0</v>
      </c>
      <c r="N11">
        <f>G11*L11</f>
        <v>0</v>
      </c>
      <c r="O11">
        <f>H11*L11</f>
        <v>0</v>
      </c>
      <c r="P11">
        <f>I11*L11</f>
        <v>0</v>
      </c>
      <c r="Q11">
        <f>J11*L11</f>
        <v>0</v>
      </c>
    </row>
    <row r="12" spans="1:18" x14ac:dyDescent="0.25">
      <c r="A12" s="10" t="s">
        <v>460</v>
      </c>
      <c r="F12">
        <f>IF(L12&gt;=1,'Prelm Rprt'!L3,0)</f>
        <v>0</v>
      </c>
      <c r="G12">
        <f>IF(L12&gt;=1,'Prelm Rprt'!L7,0)</f>
        <v>0</v>
      </c>
      <c r="H12">
        <f>IF(L12&gt;=1,'Prelm Rprt'!L9,0)</f>
        <v>0</v>
      </c>
      <c r="I12">
        <f>IF(L12&gt;=1,'Prelm Rprt'!L12,0)</f>
        <v>0</v>
      </c>
      <c r="J12">
        <f>IF(L12&gt;=1,'Prelm Rprt'!L15,0)</f>
        <v>0</v>
      </c>
      <c r="K12">
        <f t="shared" si="0"/>
        <v>0</v>
      </c>
      <c r="L12">
        <f>'Form "A" Office'!J12</f>
        <v>0</v>
      </c>
      <c r="M12">
        <f t="shared" si="1"/>
        <v>0</v>
      </c>
      <c r="N12">
        <f t="shared" si="2"/>
        <v>0</v>
      </c>
      <c r="O12">
        <f t="shared" si="3"/>
        <v>0</v>
      </c>
      <c r="P12">
        <f t="shared" si="4"/>
        <v>0</v>
      </c>
      <c r="Q12">
        <f t="shared" si="5"/>
        <v>0</v>
      </c>
    </row>
    <row r="13" spans="1:18" x14ac:dyDescent="0.25">
      <c r="A13" s="10" t="s">
        <v>462</v>
      </c>
      <c r="F13">
        <f>'Prelm Rprt'!L21</f>
        <v>244</v>
      </c>
      <c r="G13">
        <f>'Prelm Rprt'!L23</f>
        <v>140</v>
      </c>
      <c r="H13">
        <f>'Prelm Rprt'!L25</f>
        <v>408</v>
      </c>
      <c r="I13">
        <f>'Prelm Rprt'!L28</f>
        <v>74</v>
      </c>
      <c r="J13">
        <f>'Prelm Rprt'!L30</f>
        <v>120</v>
      </c>
      <c r="K13">
        <f t="shared" si="0"/>
        <v>986</v>
      </c>
      <c r="L13">
        <f>'Form "A" Office'!J13</f>
        <v>0</v>
      </c>
      <c r="M13">
        <f t="shared" si="1"/>
        <v>0</v>
      </c>
      <c r="N13">
        <f t="shared" si="2"/>
        <v>0</v>
      </c>
      <c r="O13">
        <f t="shared" si="3"/>
        <v>0</v>
      </c>
      <c r="P13">
        <f t="shared" si="4"/>
        <v>0</v>
      </c>
      <c r="Q13">
        <f t="shared" si="5"/>
        <v>0</v>
      </c>
    </row>
    <row r="14" spans="1:18" x14ac:dyDescent="0.25">
      <c r="A14" s="10" t="s">
        <v>346</v>
      </c>
      <c r="F14">
        <f>'Scdry additional well Plan Rpt'!L3</f>
        <v>1098</v>
      </c>
      <c r="G14">
        <f>'Scdry additional well Plan Rpt'!L7</f>
        <v>700</v>
      </c>
      <c r="H14">
        <f>'Scdry additional well Plan Rpt'!L10</f>
        <v>3264</v>
      </c>
      <c r="I14">
        <f>'Scdry additional well Plan Rpt'!L13</f>
        <v>1184</v>
      </c>
      <c r="J14">
        <f>'Scdry additional well Plan Rpt'!L16</f>
        <v>360</v>
      </c>
      <c r="K14">
        <f t="shared" si="0"/>
        <v>6606</v>
      </c>
      <c r="L14">
        <f>'Form "A" Office'!J14</f>
        <v>0</v>
      </c>
      <c r="M14">
        <f t="shared" si="1"/>
        <v>0</v>
      </c>
      <c r="N14">
        <f t="shared" si="2"/>
        <v>0</v>
      </c>
      <c r="O14">
        <f t="shared" si="3"/>
        <v>0</v>
      </c>
      <c r="P14">
        <f t="shared" si="4"/>
        <v>0</v>
      </c>
      <c r="Q14">
        <f t="shared" si="5"/>
        <v>0</v>
      </c>
    </row>
    <row r="15" spans="1:18" x14ac:dyDescent="0.25">
      <c r="A15" s="10" t="s">
        <v>405</v>
      </c>
      <c r="H15">
        <f>'Scdry additional well Plan Rpt'!D21</f>
        <v>102</v>
      </c>
      <c r="I15">
        <f>'Scdry additional well Plan Rpt'!G21</f>
        <v>74</v>
      </c>
      <c r="K15">
        <f t="shared" si="0"/>
        <v>176</v>
      </c>
      <c r="L15">
        <f>'Form "A" Office'!J15</f>
        <v>0</v>
      </c>
      <c r="M15">
        <f t="shared" si="1"/>
        <v>0</v>
      </c>
      <c r="N15">
        <f t="shared" si="2"/>
        <v>0</v>
      </c>
      <c r="O15">
        <f t="shared" si="3"/>
        <v>0</v>
      </c>
      <c r="P15">
        <f t="shared" si="4"/>
        <v>0</v>
      </c>
      <c r="Q15">
        <f t="shared" si="5"/>
        <v>0</v>
      </c>
    </row>
    <row r="16" spans="1:18" x14ac:dyDescent="0.25">
      <c r="A16" s="51" t="s">
        <v>83</v>
      </c>
      <c r="F16">
        <f>'Scdry additional well Plan Rpt'!D119</f>
        <v>213.5</v>
      </c>
      <c r="K16">
        <f t="shared" si="0"/>
        <v>213.5</v>
      </c>
      <c r="L16">
        <f>'Form "A" Office'!J16</f>
        <v>0</v>
      </c>
      <c r="M16">
        <f>F16*L16</f>
        <v>0</v>
      </c>
      <c r="N16">
        <f>G16*L16</f>
        <v>0</v>
      </c>
      <c r="O16">
        <f>H16*L16</f>
        <v>0</v>
      </c>
      <c r="P16">
        <f>I16*L16</f>
        <v>0</v>
      </c>
      <c r="Q16">
        <f>J16*L16</f>
        <v>0</v>
      </c>
    </row>
    <row r="17" spans="1:17" x14ac:dyDescent="0.25">
      <c r="A17" s="10" t="s">
        <v>472</v>
      </c>
      <c r="F17">
        <f>'Scdry additional well Plan Rpt'!D116</f>
        <v>305</v>
      </c>
      <c r="K17">
        <f t="shared" si="0"/>
        <v>305</v>
      </c>
      <c r="L17">
        <f>'Form "A" Office'!J17</f>
        <v>0</v>
      </c>
      <c r="M17">
        <f t="shared" si="1"/>
        <v>0</v>
      </c>
      <c r="N17">
        <f t="shared" si="2"/>
        <v>0</v>
      </c>
      <c r="O17">
        <f t="shared" si="3"/>
        <v>0</v>
      </c>
      <c r="P17">
        <f t="shared" si="4"/>
        <v>0</v>
      </c>
      <c r="Q17">
        <f t="shared" si="5"/>
        <v>0</v>
      </c>
    </row>
    <row r="18" spans="1:17" x14ac:dyDescent="0.25">
      <c r="A18" s="10" t="s">
        <v>461</v>
      </c>
      <c r="F18">
        <f>'Scdry additional well Plan Rpt'!L93</f>
        <v>976</v>
      </c>
      <c r="G18">
        <f>'Scdry additional well Plan Rpt'!L97</f>
        <v>140</v>
      </c>
      <c r="H18">
        <f>'Scdry additional well Plan Rpt'!L100</f>
        <v>204</v>
      </c>
      <c r="I18">
        <f>'Scdry additional well Plan Rpt'!L103</f>
        <v>296</v>
      </c>
      <c r="J18">
        <f>'Scdry additional well Plan Rpt'!L106</f>
        <v>120</v>
      </c>
      <c r="K18">
        <f t="shared" si="0"/>
        <v>1736</v>
      </c>
      <c r="L18">
        <f>'Form "A" Office'!J18</f>
        <v>0</v>
      </c>
      <c r="M18">
        <f t="shared" si="1"/>
        <v>0</v>
      </c>
      <c r="N18">
        <f t="shared" si="2"/>
        <v>0</v>
      </c>
      <c r="O18">
        <f t="shared" si="3"/>
        <v>0</v>
      </c>
      <c r="P18">
        <f t="shared" si="4"/>
        <v>0</v>
      </c>
      <c r="Q18">
        <f t="shared" si="5"/>
        <v>0</v>
      </c>
    </row>
    <row r="19" spans="1:17" x14ac:dyDescent="0.25">
      <c r="A19" s="30" t="s">
        <v>114</v>
      </c>
      <c r="F19">
        <f>'Scdry additional well Plan Rpt'!L25</f>
        <v>122</v>
      </c>
      <c r="G19">
        <f>'Scdry additional well Plan Rpt'!L27</f>
        <v>140</v>
      </c>
      <c r="H19">
        <f>'Scdry additional well Plan Rpt'!L29</f>
        <v>102</v>
      </c>
      <c r="I19">
        <f>'Scdry additional well Plan Rpt'!L32</f>
        <v>74</v>
      </c>
      <c r="J19">
        <f>'Scdry additional well Plan Rpt'!L34</f>
        <v>120</v>
      </c>
      <c r="K19">
        <f t="shared" si="0"/>
        <v>558</v>
      </c>
      <c r="L19">
        <f>'Form "A" Office'!J19</f>
        <v>0</v>
      </c>
      <c r="M19">
        <f t="shared" si="1"/>
        <v>0</v>
      </c>
      <c r="N19">
        <f t="shared" si="2"/>
        <v>0</v>
      </c>
      <c r="O19">
        <f t="shared" si="3"/>
        <v>0</v>
      </c>
      <c r="P19">
        <f t="shared" si="4"/>
        <v>0</v>
      </c>
      <c r="Q19">
        <f t="shared" si="5"/>
        <v>0</v>
      </c>
    </row>
    <row r="20" spans="1:17" x14ac:dyDescent="0.25">
      <c r="A20" s="30" t="s">
        <v>115</v>
      </c>
      <c r="F20">
        <f>'Scdry additional well Plan Rpt'!L40</f>
        <v>244</v>
      </c>
      <c r="G20">
        <f>'Scdry additional well Plan Rpt'!L42</f>
        <v>140</v>
      </c>
      <c r="H20">
        <f>'Scdry additional well Plan Rpt'!L44</f>
        <v>306</v>
      </c>
      <c r="I20">
        <f>'Scdry additional well Plan Rpt'!L47</f>
        <v>148</v>
      </c>
      <c r="J20">
        <f>'Scdry additional well Plan Rpt'!L49</f>
        <v>120</v>
      </c>
      <c r="K20">
        <f t="shared" si="0"/>
        <v>958</v>
      </c>
      <c r="L20">
        <f>'Form "A" Office'!J20</f>
        <v>0</v>
      </c>
      <c r="M20">
        <f>F20*L20</f>
        <v>0</v>
      </c>
      <c r="N20">
        <f>G20*L20</f>
        <v>0</v>
      </c>
      <c r="O20">
        <f>H20*L20</f>
        <v>0</v>
      </c>
      <c r="P20">
        <f>I20*L20</f>
        <v>0</v>
      </c>
      <c r="Q20">
        <f>J20*L20</f>
        <v>0</v>
      </c>
    </row>
    <row r="21" spans="1:17" x14ac:dyDescent="0.25">
      <c r="A21" s="10" t="s">
        <v>116</v>
      </c>
      <c r="F21">
        <f>'Scdry additional well Plan Rpt'!L55</f>
        <v>488</v>
      </c>
      <c r="G21">
        <f>'Scdry additional well Plan Rpt'!L59</f>
        <v>140</v>
      </c>
      <c r="H21">
        <f>'Scdry additional well Plan Rpt'!L62</f>
        <v>408</v>
      </c>
      <c r="I21">
        <f>'Scdry additional well Plan Rpt'!L65</f>
        <v>148</v>
      </c>
      <c r="J21">
        <f>'Scdry additional well Plan Rpt'!L68</f>
        <v>180</v>
      </c>
      <c r="K21">
        <f t="shared" si="0"/>
        <v>1364</v>
      </c>
      <c r="L21">
        <f>'Form "A" Office'!J21</f>
        <v>0</v>
      </c>
      <c r="M21">
        <f>F21*L21</f>
        <v>0</v>
      </c>
      <c r="N21">
        <f>G21*L21</f>
        <v>0</v>
      </c>
      <c r="O21">
        <f>H21*L21</f>
        <v>0</v>
      </c>
      <c r="P21">
        <f>I21*L21</f>
        <v>0</v>
      </c>
      <c r="Q21">
        <f>J21*L21</f>
        <v>0</v>
      </c>
    </row>
    <row r="22" spans="1:17" x14ac:dyDescent="0.25">
      <c r="A22" s="10" t="s">
        <v>117</v>
      </c>
      <c r="F22">
        <f>'Scdry additional well Plan Rpt'!L74</f>
        <v>610</v>
      </c>
      <c r="G22">
        <f>'Scdry additional well Plan Rpt'!L78</f>
        <v>140</v>
      </c>
      <c r="H22">
        <f>'Scdry additional well Plan Rpt'!L81</f>
        <v>510</v>
      </c>
      <c r="I22">
        <f>'Scdry additional well Plan Rpt'!L84</f>
        <v>222</v>
      </c>
      <c r="J22">
        <f>'Scdry additional well Plan Rpt'!L87</f>
        <v>180</v>
      </c>
      <c r="K22">
        <f>SUM(F22:J22)</f>
        <v>1662</v>
      </c>
      <c r="L22">
        <f>'Form "A" Office'!J22</f>
        <v>0</v>
      </c>
      <c r="M22">
        <f>F22*L22</f>
        <v>0</v>
      </c>
      <c r="N22">
        <f>G22*L22</f>
        <v>0</v>
      </c>
      <c r="O22">
        <f>H22*L22</f>
        <v>0</v>
      </c>
      <c r="P22">
        <f>I22*L22</f>
        <v>0</v>
      </c>
      <c r="Q22">
        <f>J22*L22</f>
        <v>0</v>
      </c>
    </row>
    <row r="23" spans="1:17" x14ac:dyDescent="0.25">
      <c r="A23" s="51" t="s">
        <v>1037</v>
      </c>
      <c r="F23">
        <f>'Scdry additional well Plan Rpt'!L123</f>
        <v>610</v>
      </c>
      <c r="G23">
        <f>'Scdry additional well Plan Rpt'!L127</f>
        <v>140</v>
      </c>
      <c r="H23">
        <f>'Scdry additional well Plan Rpt'!L130</f>
        <v>816</v>
      </c>
      <c r="I23">
        <f>'Scdry additional well Plan Rpt'!L133</f>
        <v>592</v>
      </c>
      <c r="J23">
        <f>'Scdry additional well Plan Rpt'!L136</f>
        <v>120</v>
      </c>
      <c r="K23">
        <f>SUM(F23:J23)</f>
        <v>2278</v>
      </c>
      <c r="L23">
        <f>'Form "A" Office'!J23</f>
        <v>0</v>
      </c>
      <c r="M23">
        <f t="shared" si="1"/>
        <v>0</v>
      </c>
      <c r="N23">
        <f t="shared" si="2"/>
        <v>0</v>
      </c>
      <c r="O23">
        <f t="shared" si="3"/>
        <v>0</v>
      </c>
      <c r="P23">
        <f t="shared" si="4"/>
        <v>0</v>
      </c>
      <c r="Q23">
        <f t="shared" si="5"/>
        <v>0</v>
      </c>
    </row>
    <row r="24" spans="1:17" x14ac:dyDescent="0.25">
      <c r="A24" s="10" t="s">
        <v>499</v>
      </c>
      <c r="F24">
        <f>'NAMR GWM PLAN RPRT'!L3</f>
        <v>122</v>
      </c>
      <c r="G24">
        <f>'NAMR GWM PLAN RPRT'!L6</f>
        <v>140</v>
      </c>
      <c r="H24">
        <f>'NAMR GWM PLAN RPRT'!L9</f>
        <v>204</v>
      </c>
      <c r="I24">
        <f>'NAMR GWM PLAN RPRT'!L12</f>
        <v>0</v>
      </c>
      <c r="J24">
        <f>'NAMR GWM PLAN RPRT'!L15</f>
        <v>120</v>
      </c>
      <c r="K24">
        <f t="shared" si="0"/>
        <v>586</v>
      </c>
      <c r="L24">
        <f>'Form "A" Office'!J24</f>
        <v>0</v>
      </c>
      <c r="M24">
        <f t="shared" si="1"/>
        <v>0</v>
      </c>
      <c r="N24">
        <f t="shared" si="2"/>
        <v>0</v>
      </c>
      <c r="O24">
        <f t="shared" si="3"/>
        <v>0</v>
      </c>
      <c r="P24">
        <f t="shared" si="4"/>
        <v>0</v>
      </c>
      <c r="Q24">
        <f t="shared" si="5"/>
        <v>0</v>
      </c>
    </row>
    <row r="25" spans="1:17" x14ac:dyDescent="0.25">
      <c r="A25" s="10" t="s">
        <v>370</v>
      </c>
      <c r="K25">
        <f t="shared" si="0"/>
        <v>0</v>
      </c>
      <c r="L25">
        <f>'Form "A" Office'!J25</f>
        <v>0</v>
      </c>
      <c r="M25">
        <f t="shared" si="1"/>
        <v>0</v>
      </c>
      <c r="N25">
        <f t="shared" si="2"/>
        <v>0</v>
      </c>
      <c r="O25">
        <f t="shared" si="3"/>
        <v>0</v>
      </c>
      <c r="P25">
        <f t="shared" si="4"/>
        <v>0</v>
      </c>
      <c r="Q25">
        <f t="shared" si="5"/>
        <v>0</v>
      </c>
    </row>
    <row r="26" spans="1:17" x14ac:dyDescent="0.25">
      <c r="A26" s="10"/>
      <c r="B26" t="s">
        <v>525</v>
      </c>
      <c r="F26">
        <f>'NAMR GWM PLAN RPRT'!L21</f>
        <v>244</v>
      </c>
      <c r="G26">
        <f>'NAMR GWM PLAN RPRT'!L25</f>
        <v>140</v>
      </c>
      <c r="H26">
        <f>'NAMR GWM PLAN RPRT'!L28</f>
        <v>612</v>
      </c>
      <c r="I26">
        <f>'NAMR GWM PLAN RPRT'!L31</f>
        <v>148</v>
      </c>
      <c r="J26">
        <f>'NAMR GWM PLAN RPRT'!L34</f>
        <v>240</v>
      </c>
      <c r="K26">
        <f>SUM(F26:J26)</f>
        <v>1384</v>
      </c>
      <c r="L26">
        <f>'Form "A" Office'!J26</f>
        <v>0</v>
      </c>
      <c r="M26">
        <f t="shared" si="1"/>
        <v>0</v>
      </c>
      <c r="N26">
        <f t="shared" si="2"/>
        <v>0</v>
      </c>
      <c r="O26">
        <f t="shared" si="3"/>
        <v>0</v>
      </c>
      <c r="P26">
        <f t="shared" si="4"/>
        <v>0</v>
      </c>
      <c r="Q26">
        <f t="shared" si="5"/>
        <v>0</v>
      </c>
    </row>
    <row r="27" spans="1:17" x14ac:dyDescent="0.25">
      <c r="A27" s="10"/>
      <c r="B27" t="s">
        <v>524</v>
      </c>
      <c r="F27">
        <f>'NAMR GWM PLAN RPRT'!L43</f>
        <v>244</v>
      </c>
      <c r="G27">
        <f>'NAMR GWM PLAN RPRT'!L47</f>
        <v>140</v>
      </c>
      <c r="H27">
        <f>'NAMR GWM PLAN RPRT'!L50</f>
        <v>816</v>
      </c>
      <c r="I27">
        <f>'NAMR GWM PLAN RPRT'!L53</f>
        <v>222</v>
      </c>
      <c r="J27">
        <f>'NAMR GWM PLAN RPRT'!L56</f>
        <v>240</v>
      </c>
      <c r="K27">
        <f t="shared" si="0"/>
        <v>1662</v>
      </c>
      <c r="L27">
        <f>'Form "A" Office'!J27</f>
        <v>0</v>
      </c>
      <c r="M27">
        <f t="shared" si="1"/>
        <v>0</v>
      </c>
      <c r="N27">
        <f t="shared" si="2"/>
        <v>0</v>
      </c>
      <c r="O27">
        <f t="shared" si="3"/>
        <v>0</v>
      </c>
      <c r="P27">
        <f t="shared" si="4"/>
        <v>0</v>
      </c>
      <c r="Q27">
        <f t="shared" si="5"/>
        <v>0</v>
      </c>
    </row>
    <row r="28" spans="1:17" x14ac:dyDescent="0.25">
      <c r="A28" s="10" t="s">
        <v>511</v>
      </c>
      <c r="H28">
        <f>'NAMR GWM PLAN RPRT'!D39</f>
        <v>25.5</v>
      </c>
      <c r="I28">
        <f>'NAMR GWM PLAN RPRT'!G39</f>
        <v>18.5</v>
      </c>
      <c r="K28">
        <f t="shared" si="0"/>
        <v>44</v>
      </c>
      <c r="L28">
        <f>'Form "A" Office'!J28</f>
        <v>0</v>
      </c>
      <c r="M28">
        <f t="shared" si="1"/>
        <v>0</v>
      </c>
      <c r="N28">
        <f t="shared" si="2"/>
        <v>0</v>
      </c>
      <c r="O28">
        <f t="shared" si="3"/>
        <v>0</v>
      </c>
      <c r="P28">
        <f t="shared" si="4"/>
        <v>0</v>
      </c>
      <c r="Q28">
        <f t="shared" si="5"/>
        <v>0</v>
      </c>
    </row>
    <row r="29" spans="1:17" x14ac:dyDescent="0.25">
      <c r="A29" s="10" t="s">
        <v>530</v>
      </c>
      <c r="H29">
        <f>'NAMR GWM PLAN RPRT'!D64</f>
        <v>35.699999999999996</v>
      </c>
      <c r="I29">
        <f>'NAMR GWM PLAN RPRT'!G64</f>
        <v>25.9</v>
      </c>
      <c r="K29">
        <f t="shared" si="0"/>
        <v>61.599999999999994</v>
      </c>
      <c r="L29">
        <f>'Form "A" Office'!J29</f>
        <v>0</v>
      </c>
      <c r="M29">
        <f t="shared" si="1"/>
        <v>0</v>
      </c>
      <c r="N29">
        <f t="shared" si="2"/>
        <v>0</v>
      </c>
      <c r="O29">
        <f t="shared" si="3"/>
        <v>0</v>
      </c>
      <c r="P29">
        <f t="shared" si="4"/>
        <v>0</v>
      </c>
      <c r="Q29">
        <f t="shared" si="5"/>
        <v>0</v>
      </c>
    </row>
    <row r="30" spans="1:17" x14ac:dyDescent="0.25">
      <c r="A30" s="10"/>
      <c r="K30">
        <f t="shared" si="0"/>
        <v>0</v>
      </c>
      <c r="L30">
        <f>'Form "A" Office'!J30</f>
        <v>0</v>
      </c>
      <c r="M30">
        <f t="shared" si="1"/>
        <v>0</v>
      </c>
      <c r="N30">
        <f t="shared" si="2"/>
        <v>0</v>
      </c>
      <c r="O30">
        <f t="shared" si="3"/>
        <v>0</v>
      </c>
      <c r="P30">
        <f t="shared" si="4"/>
        <v>0</v>
      </c>
      <c r="Q30">
        <f t="shared" si="5"/>
        <v>0</v>
      </c>
    </row>
    <row r="31" spans="1:17" x14ac:dyDescent="0.25">
      <c r="A31" s="10" t="s">
        <v>500</v>
      </c>
      <c r="F31">
        <f>'FP PlanReportMEMEField'!L3</f>
        <v>488</v>
      </c>
      <c r="G31">
        <f>'FP PlanReportMEMEField'!L6</f>
        <v>140</v>
      </c>
      <c r="H31">
        <f>'FP PlanReportMEMEField'!L9</f>
        <v>102</v>
      </c>
      <c r="I31">
        <f>'FP PlanReportMEMEField'!L12</f>
        <v>74</v>
      </c>
      <c r="J31">
        <f>'FP PlanReportMEMEField'!L15</f>
        <v>120</v>
      </c>
      <c r="K31">
        <f t="shared" si="0"/>
        <v>924</v>
      </c>
      <c r="L31">
        <f>'Form "A" Office'!J31</f>
        <v>0</v>
      </c>
      <c r="M31">
        <f t="shared" si="1"/>
        <v>0</v>
      </c>
      <c r="N31">
        <f t="shared" si="2"/>
        <v>0</v>
      </c>
      <c r="O31">
        <f t="shared" si="3"/>
        <v>0</v>
      </c>
      <c r="P31">
        <f t="shared" si="4"/>
        <v>0</v>
      </c>
      <c r="Q31">
        <f t="shared" si="5"/>
        <v>0</v>
      </c>
    </row>
    <row r="32" spans="1:17" x14ac:dyDescent="0.25">
      <c r="A32" s="10" t="s">
        <v>616</v>
      </c>
      <c r="F32">
        <f>'FP PlanReportMEMEField'!L65</f>
        <v>488</v>
      </c>
      <c r="G32">
        <f>'FP PlanReportMEMEField'!L69</f>
        <v>140</v>
      </c>
      <c r="H32">
        <f>'FP PlanReportMEMEField'!L72</f>
        <v>204</v>
      </c>
      <c r="I32">
        <f>'FP PlanReportMEMEField'!L75</f>
        <v>74</v>
      </c>
      <c r="J32">
        <f>'FP PlanReportMEMEField'!L78</f>
        <v>240</v>
      </c>
      <c r="K32">
        <f t="shared" si="0"/>
        <v>1146</v>
      </c>
      <c r="L32">
        <f>'Form "A" Office'!J32</f>
        <v>0</v>
      </c>
      <c r="M32">
        <f t="shared" si="1"/>
        <v>0</v>
      </c>
      <c r="N32">
        <f t="shared" si="2"/>
        <v>0</v>
      </c>
      <c r="O32">
        <f t="shared" si="3"/>
        <v>0</v>
      </c>
      <c r="P32">
        <f t="shared" si="4"/>
        <v>0</v>
      </c>
      <c r="Q32">
        <f t="shared" si="5"/>
        <v>0</v>
      </c>
    </row>
    <row r="33" spans="1:18" x14ac:dyDescent="0.25">
      <c r="A33" s="10" t="s">
        <v>268</v>
      </c>
      <c r="F33">
        <f>'FP PlanReportMEMEField'!L84</f>
        <v>488</v>
      </c>
      <c r="G33">
        <f>'FP PlanReportMEMEField'!L88</f>
        <v>140</v>
      </c>
      <c r="H33">
        <f>'FP PlanReportMEMEField'!L91</f>
        <v>306</v>
      </c>
      <c r="I33">
        <f>'FP PlanReportMEMEField'!L94</f>
        <v>74</v>
      </c>
      <c r="J33">
        <f>'FP PlanReportMEMEField'!L97</f>
        <v>240</v>
      </c>
      <c r="K33">
        <f t="shared" si="0"/>
        <v>1248</v>
      </c>
      <c r="L33">
        <f>'Form "A" Office'!J33</f>
        <v>0</v>
      </c>
      <c r="M33">
        <f t="shared" si="1"/>
        <v>0</v>
      </c>
      <c r="N33">
        <f t="shared" si="2"/>
        <v>0</v>
      </c>
      <c r="O33">
        <f t="shared" si="3"/>
        <v>0</v>
      </c>
      <c r="P33">
        <f t="shared" si="4"/>
        <v>0</v>
      </c>
      <c r="Q33">
        <f t="shared" si="5"/>
        <v>0</v>
      </c>
    </row>
    <row r="34" spans="1:18" x14ac:dyDescent="0.25">
      <c r="A34" s="10" t="s">
        <v>225</v>
      </c>
      <c r="F34">
        <f>'FP PlanReportMEMEField'!L127</f>
        <v>244</v>
      </c>
      <c r="G34">
        <f>'FP PlanReportMEMEField'!L131</f>
        <v>140</v>
      </c>
      <c r="H34">
        <f>'FP PlanReportMEMEField'!L134</f>
        <v>306</v>
      </c>
      <c r="I34">
        <f>'FP PlanReportMEMEField'!L137</f>
        <v>74</v>
      </c>
      <c r="J34">
        <f>'FP PlanReportMEMEField'!L140</f>
        <v>120</v>
      </c>
      <c r="K34">
        <f>SUM(F34:J34)</f>
        <v>884</v>
      </c>
      <c r="L34">
        <f>'Form "A" Office'!J34</f>
        <v>0</v>
      </c>
      <c r="M34">
        <f>F34*L34</f>
        <v>0</v>
      </c>
      <c r="N34">
        <f>G34*L34</f>
        <v>0</v>
      </c>
      <c r="O34">
        <f>H34*L34</f>
        <v>0</v>
      </c>
      <c r="P34">
        <f>I34*L34</f>
        <v>0</v>
      </c>
      <c r="Q34">
        <f>J34*L34</f>
        <v>0</v>
      </c>
    </row>
    <row r="35" spans="1:18" x14ac:dyDescent="0.25">
      <c r="A35" s="51" t="s">
        <v>1083</v>
      </c>
      <c r="F35">
        <f>'FP PlanReportMEMEField'!L146</f>
        <v>244</v>
      </c>
      <c r="G35">
        <f>'FP PlanReportMEMEField'!L150</f>
        <v>0</v>
      </c>
      <c r="H35">
        <f>'FP PlanReportMEMEField'!L153</f>
        <v>102</v>
      </c>
      <c r="I35">
        <f>'FP PlanReportMEMEField'!L156</f>
        <v>0</v>
      </c>
      <c r="J35">
        <f>'FP PlanReportMEMEField'!L159</f>
        <v>0</v>
      </c>
      <c r="K35">
        <f>SUM(F35:J35)</f>
        <v>346</v>
      </c>
      <c r="L35">
        <f>'Form "A" Office'!J35</f>
        <v>0</v>
      </c>
      <c r="M35">
        <f>F35*L35</f>
        <v>0</v>
      </c>
      <c r="N35">
        <f>G35*L35</f>
        <v>0</v>
      </c>
      <c r="O35">
        <f>H35*L35</f>
        <v>0</v>
      </c>
      <c r="P35">
        <f>I35*L35</f>
        <v>0</v>
      </c>
      <c r="Q35">
        <f>J35*L35</f>
        <v>0</v>
      </c>
    </row>
    <row r="36" spans="1:18" x14ac:dyDescent="0.25">
      <c r="A36" s="10" t="s">
        <v>434</v>
      </c>
    </row>
    <row r="37" spans="1:18" x14ac:dyDescent="0.25">
      <c r="A37" s="10"/>
      <c r="B37" s="31" t="s">
        <v>531</v>
      </c>
      <c r="F37">
        <f>ARBCA!L3</f>
        <v>610</v>
      </c>
      <c r="G37">
        <f>ARBCA!L6</f>
        <v>840</v>
      </c>
      <c r="H37">
        <f>ARBCA!L9</f>
        <v>2448</v>
      </c>
      <c r="I37">
        <f>ARBCA!L12</f>
        <v>518</v>
      </c>
      <c r="J37">
        <f>ARBCA!L15</f>
        <v>240</v>
      </c>
      <c r="K37">
        <f t="shared" si="0"/>
        <v>4656</v>
      </c>
      <c r="L37">
        <f>'Form "A" Office'!J48</f>
        <v>0</v>
      </c>
      <c r="M37">
        <f t="shared" si="1"/>
        <v>0</v>
      </c>
      <c r="N37">
        <f t="shared" si="2"/>
        <v>0</v>
      </c>
      <c r="O37">
        <f t="shared" si="3"/>
        <v>0</v>
      </c>
      <c r="P37">
        <f t="shared" si="4"/>
        <v>0</v>
      </c>
      <c r="Q37">
        <f t="shared" si="5"/>
        <v>0</v>
      </c>
      <c r="R37" s="48"/>
    </row>
    <row r="38" spans="1:18" x14ac:dyDescent="0.25">
      <c r="A38" s="10"/>
      <c r="B38" t="s">
        <v>406</v>
      </c>
      <c r="F38">
        <f>ARBCA!L21</f>
        <v>610</v>
      </c>
      <c r="G38">
        <f>ARBCA!L24</f>
        <v>840</v>
      </c>
      <c r="H38">
        <f>ARBCA!L27</f>
        <v>2652</v>
      </c>
      <c r="I38">
        <f>ARBCA!L30</f>
        <v>592</v>
      </c>
      <c r="J38">
        <f>ARBCA!L33</f>
        <v>240</v>
      </c>
      <c r="K38">
        <f t="shared" si="0"/>
        <v>4934</v>
      </c>
      <c r="L38">
        <f>'Form "A" Office'!J49</f>
        <v>0</v>
      </c>
      <c r="M38">
        <f t="shared" si="1"/>
        <v>0</v>
      </c>
      <c r="N38">
        <f t="shared" si="2"/>
        <v>0</v>
      </c>
      <c r="O38">
        <f t="shared" si="3"/>
        <v>0</v>
      </c>
      <c r="P38">
        <f t="shared" si="4"/>
        <v>0</v>
      </c>
      <c r="Q38">
        <f t="shared" si="5"/>
        <v>0</v>
      </c>
    </row>
    <row r="39" spans="1:18" x14ac:dyDescent="0.25">
      <c r="A39" s="10" t="s">
        <v>435</v>
      </c>
      <c r="K39">
        <f t="shared" si="0"/>
        <v>0</v>
      </c>
      <c r="L39">
        <f>'Form "A" Office'!J50</f>
        <v>0</v>
      </c>
      <c r="M39">
        <f t="shared" si="1"/>
        <v>0</v>
      </c>
      <c r="N39">
        <f t="shared" si="2"/>
        <v>0</v>
      </c>
      <c r="O39">
        <f t="shared" si="3"/>
        <v>0</v>
      </c>
      <c r="P39">
        <f t="shared" si="4"/>
        <v>0</v>
      </c>
      <c r="Q39">
        <f t="shared" si="5"/>
        <v>0</v>
      </c>
    </row>
    <row r="40" spans="1:18" x14ac:dyDescent="0.25">
      <c r="A40" s="10"/>
      <c r="B40" t="s">
        <v>531</v>
      </c>
      <c r="F40">
        <f>ARBCA!L39</f>
        <v>610</v>
      </c>
      <c r="G40">
        <f>ARBCA!L42</f>
        <v>840</v>
      </c>
      <c r="H40">
        <f>ARBCA!L45</f>
        <v>2448</v>
      </c>
      <c r="I40">
        <f>ARBCA!L48</f>
        <v>518</v>
      </c>
      <c r="J40">
        <f>ARBCA!L51</f>
        <v>240</v>
      </c>
      <c r="K40">
        <f t="shared" si="0"/>
        <v>4656</v>
      </c>
      <c r="L40">
        <f>'Form "A" Office'!J51</f>
        <v>0</v>
      </c>
      <c r="M40">
        <f t="shared" si="1"/>
        <v>0</v>
      </c>
      <c r="N40">
        <f t="shared" si="2"/>
        <v>0</v>
      </c>
      <c r="O40">
        <f t="shared" si="3"/>
        <v>0</v>
      </c>
      <c r="P40">
        <f t="shared" si="4"/>
        <v>0</v>
      </c>
      <c r="Q40">
        <f t="shared" si="5"/>
        <v>0</v>
      </c>
    </row>
    <row r="41" spans="1:18" x14ac:dyDescent="0.25">
      <c r="A41" s="10"/>
      <c r="B41" t="s">
        <v>406</v>
      </c>
      <c r="F41">
        <f>ARBCA!L64</f>
        <v>610</v>
      </c>
      <c r="G41">
        <f>ARBCA!L67</f>
        <v>840</v>
      </c>
      <c r="H41">
        <f>ARBCA!L70</f>
        <v>2652</v>
      </c>
      <c r="I41">
        <f>ARBCA!L73</f>
        <v>592</v>
      </c>
      <c r="J41">
        <f>ARBCA!L76</f>
        <v>240</v>
      </c>
      <c r="K41">
        <f t="shared" si="0"/>
        <v>4934</v>
      </c>
      <c r="L41">
        <f>'Form "A" Office'!J52</f>
        <v>0</v>
      </c>
      <c r="M41">
        <f t="shared" si="1"/>
        <v>0</v>
      </c>
      <c r="N41">
        <f t="shared" si="2"/>
        <v>0</v>
      </c>
      <c r="O41">
        <f t="shared" si="3"/>
        <v>0</v>
      </c>
      <c r="P41">
        <f t="shared" si="4"/>
        <v>0</v>
      </c>
      <c r="Q41">
        <f t="shared" si="5"/>
        <v>0</v>
      </c>
    </row>
    <row r="42" spans="1:18" x14ac:dyDescent="0.25">
      <c r="A42" s="10" t="s">
        <v>1250</v>
      </c>
      <c r="F42">
        <f>ARBCA!L110</f>
        <v>122</v>
      </c>
      <c r="G42">
        <f>ARBCA!L113</f>
        <v>140</v>
      </c>
      <c r="H42">
        <f>ARBCA!L116</f>
        <v>204</v>
      </c>
      <c r="I42">
        <f>ARBCA!L119</f>
        <v>74</v>
      </c>
      <c r="J42">
        <f>ARBCA!L122</f>
        <v>60</v>
      </c>
      <c r="K42">
        <f>SUM(F42:J42)</f>
        <v>600</v>
      </c>
      <c r="L42">
        <f>'Form "A" Office'!J53</f>
        <v>0</v>
      </c>
      <c r="M42">
        <f>F42*L42</f>
        <v>0</v>
      </c>
      <c r="N42">
        <f>G42*L42</f>
        <v>0</v>
      </c>
      <c r="O42">
        <f>H42*L42</f>
        <v>0</v>
      </c>
      <c r="P42">
        <f>I42*L42</f>
        <v>0</v>
      </c>
      <c r="Q42">
        <f>J42*L42</f>
        <v>0</v>
      </c>
    </row>
    <row r="43" spans="1:18" x14ac:dyDescent="0.25">
      <c r="A43" s="10" t="s">
        <v>1251</v>
      </c>
      <c r="F43">
        <f>ARBCA!L128</f>
        <v>122</v>
      </c>
      <c r="G43">
        <f>ARBCA!L131</f>
        <v>280</v>
      </c>
      <c r="H43">
        <f>ARBCA!L134</f>
        <v>408</v>
      </c>
      <c r="I43">
        <f>ARBCA!L137</f>
        <v>74</v>
      </c>
      <c r="J43">
        <f>ARBCA!L140</f>
        <v>60</v>
      </c>
      <c r="K43">
        <f>SUM(F43:J43)</f>
        <v>944</v>
      </c>
      <c r="L43">
        <f>'Form "A" Office'!J54</f>
        <v>0</v>
      </c>
      <c r="M43">
        <f>F43*L43</f>
        <v>0</v>
      </c>
      <c r="N43">
        <f>G43*L43</f>
        <v>0</v>
      </c>
      <c r="O43">
        <f>H43*L43</f>
        <v>0</v>
      </c>
      <c r="P43">
        <f>I43*L43</f>
        <v>0</v>
      </c>
      <c r="Q43">
        <f>J43*L43</f>
        <v>0</v>
      </c>
    </row>
    <row r="44" spans="1:18" x14ac:dyDescent="0.25">
      <c r="A44" s="10" t="s">
        <v>1252</v>
      </c>
      <c r="F44">
        <f>(ARBCA!L128*0.25)</f>
        <v>30.5</v>
      </c>
      <c r="G44">
        <f>(ARBCA!L131*0.25)</f>
        <v>70</v>
      </c>
      <c r="H44">
        <f>ARBCA!L134*0.25</f>
        <v>102</v>
      </c>
      <c r="I44">
        <f>ARBCA!L137*0.25</f>
        <v>18.5</v>
      </c>
      <c r="J44">
        <f>ARBCA!L140*0.25</f>
        <v>15</v>
      </c>
      <c r="K44">
        <f>SUM(F44:J44)</f>
        <v>236</v>
      </c>
      <c r="L44">
        <f>'Form "A" Office'!J55</f>
        <v>0</v>
      </c>
      <c r="M44">
        <f>F44*L44</f>
        <v>0</v>
      </c>
      <c r="N44">
        <f>G44*L44</f>
        <v>0</v>
      </c>
      <c r="O44">
        <f>H44*L44</f>
        <v>0</v>
      </c>
      <c r="P44">
        <f>I44*L44</f>
        <v>0</v>
      </c>
      <c r="Q44">
        <f>J44*L44</f>
        <v>0</v>
      </c>
    </row>
    <row r="45" spans="1:18" x14ac:dyDescent="0.25">
      <c r="A45" s="10" t="s">
        <v>580</v>
      </c>
      <c r="H45">
        <f>ARBCA!D82</f>
        <v>25.5</v>
      </c>
      <c r="I45">
        <f>ARBCA!G82</f>
        <v>18.5</v>
      </c>
      <c r="K45">
        <f t="shared" si="0"/>
        <v>44</v>
      </c>
      <c r="L45">
        <f>'Form "A" Office'!J56</f>
        <v>0</v>
      </c>
      <c r="M45">
        <f t="shared" si="1"/>
        <v>0</v>
      </c>
      <c r="N45">
        <f t="shared" si="2"/>
        <v>0</v>
      </c>
      <c r="O45">
        <f t="shared" si="3"/>
        <v>0</v>
      </c>
      <c r="P45">
        <f t="shared" si="4"/>
        <v>0</v>
      </c>
      <c r="Q45">
        <f t="shared" si="5"/>
        <v>0</v>
      </c>
    </row>
    <row r="46" spans="1:18" x14ac:dyDescent="0.25">
      <c r="A46" s="10" t="s">
        <v>507</v>
      </c>
      <c r="H46">
        <f>ARBCA!D85</f>
        <v>30.599999999999998</v>
      </c>
      <c r="I46">
        <f>ARBCA!G85</f>
        <v>22.2</v>
      </c>
      <c r="K46">
        <f t="shared" si="0"/>
        <v>52.8</v>
      </c>
      <c r="L46">
        <f>'Form "A" Office'!J57</f>
        <v>0</v>
      </c>
      <c r="M46">
        <f t="shared" si="1"/>
        <v>0</v>
      </c>
      <c r="N46">
        <f t="shared" si="2"/>
        <v>0</v>
      </c>
      <c r="O46">
        <f t="shared" si="3"/>
        <v>0</v>
      </c>
      <c r="P46">
        <f t="shared" si="4"/>
        <v>0</v>
      </c>
      <c r="Q46">
        <f t="shared" si="5"/>
        <v>0</v>
      </c>
    </row>
    <row r="47" spans="1:18" x14ac:dyDescent="0.25">
      <c r="A47" s="10" t="s">
        <v>510</v>
      </c>
      <c r="H47">
        <f>ARBCA!D88</f>
        <v>2448</v>
      </c>
      <c r="I47">
        <f>ARBCA!G88</f>
        <v>222</v>
      </c>
      <c r="K47">
        <f t="shared" si="0"/>
        <v>2670</v>
      </c>
      <c r="L47">
        <f>'Form "A" Office'!J58</f>
        <v>0</v>
      </c>
      <c r="M47">
        <f t="shared" si="1"/>
        <v>0</v>
      </c>
      <c r="N47">
        <f t="shared" si="2"/>
        <v>0</v>
      </c>
      <c r="O47">
        <f t="shared" si="3"/>
        <v>0</v>
      </c>
      <c r="P47">
        <f t="shared" si="4"/>
        <v>0</v>
      </c>
      <c r="Q47">
        <f t="shared" si="5"/>
        <v>0</v>
      </c>
    </row>
    <row r="48" spans="1:18" x14ac:dyDescent="0.25">
      <c r="A48" s="10" t="s">
        <v>202</v>
      </c>
      <c r="F48">
        <f>ARBCA!L92</f>
        <v>854</v>
      </c>
      <c r="G48">
        <f>ARBCA!L95</f>
        <v>420</v>
      </c>
      <c r="H48">
        <f>ARBCA!L98</f>
        <v>2448</v>
      </c>
      <c r="I48">
        <f>ARBCA!L101</f>
        <v>74</v>
      </c>
      <c r="J48">
        <f>ARBCA!L104</f>
        <v>240</v>
      </c>
      <c r="K48">
        <f t="shared" si="0"/>
        <v>4036</v>
      </c>
      <c r="L48">
        <f>'Form "A" Office'!J59</f>
        <v>0</v>
      </c>
      <c r="M48">
        <f>F48*L48</f>
        <v>0</v>
      </c>
      <c r="N48">
        <f>G48*L48</f>
        <v>0</v>
      </c>
      <c r="O48">
        <f>H48*L48</f>
        <v>0</v>
      </c>
      <c r="P48">
        <f>I48*L48</f>
        <v>0</v>
      </c>
      <c r="Q48">
        <f>J48*L48</f>
        <v>0</v>
      </c>
    </row>
    <row r="49" spans="1:18" x14ac:dyDescent="0.25">
      <c r="A49" s="10"/>
    </row>
    <row r="50" spans="1:18" x14ac:dyDescent="0.25">
      <c r="A50" s="30" t="s">
        <v>589</v>
      </c>
      <c r="F50">
        <f>'Corrective Action Plans'!L3</f>
        <v>1464</v>
      </c>
      <c r="G50">
        <f>'Corrective Action Plans'!L6</f>
        <v>1260</v>
      </c>
      <c r="H50">
        <f>'Corrective Action Plans'!L9</f>
        <v>816</v>
      </c>
      <c r="I50">
        <f>'Corrective Action Plans'!L12</f>
        <v>148</v>
      </c>
      <c r="J50">
        <f>'Corrective Action Plans'!L15</f>
        <v>300</v>
      </c>
      <c r="K50">
        <f t="shared" si="0"/>
        <v>3988</v>
      </c>
      <c r="L50">
        <f>'Form "A" Office'!J61</f>
        <v>0</v>
      </c>
      <c r="M50">
        <f t="shared" si="1"/>
        <v>0</v>
      </c>
      <c r="N50">
        <f t="shared" si="2"/>
        <v>0</v>
      </c>
      <c r="O50">
        <f t="shared" si="3"/>
        <v>0</v>
      </c>
      <c r="P50">
        <f t="shared" si="4"/>
        <v>0</v>
      </c>
      <c r="Q50">
        <f t="shared" si="5"/>
        <v>0</v>
      </c>
    </row>
    <row r="51" spans="1:18" x14ac:dyDescent="0.25">
      <c r="A51" s="10" t="s">
        <v>224</v>
      </c>
      <c r="F51">
        <f>'Corrective Action Plans'!L21</f>
        <v>366</v>
      </c>
      <c r="G51">
        <f>'Corrective Action Plans'!L24</f>
        <v>280</v>
      </c>
      <c r="H51">
        <f>'Corrective Action Plans'!L27</f>
        <v>816</v>
      </c>
      <c r="I51">
        <f>'Corrective Action Plans'!L30</f>
        <v>148</v>
      </c>
      <c r="J51">
        <f>'Corrective Action Plans'!L33</f>
        <v>240</v>
      </c>
      <c r="K51">
        <f t="shared" si="0"/>
        <v>1850</v>
      </c>
      <c r="L51">
        <f>'Form "A" Office'!J62</f>
        <v>0</v>
      </c>
      <c r="M51">
        <f t="shared" si="1"/>
        <v>0</v>
      </c>
      <c r="N51">
        <f t="shared" si="2"/>
        <v>0</v>
      </c>
      <c r="O51">
        <f t="shared" si="3"/>
        <v>0</v>
      </c>
      <c r="P51">
        <f t="shared" si="4"/>
        <v>0</v>
      </c>
      <c r="Q51">
        <f t="shared" si="5"/>
        <v>0</v>
      </c>
    </row>
    <row r="52" spans="1:18" x14ac:dyDescent="0.25">
      <c r="A52" s="10" t="s">
        <v>546</v>
      </c>
      <c r="F52">
        <f>'Corrective Action Plans'!L39</f>
        <v>488</v>
      </c>
      <c r="G52">
        <f>'Corrective Action Plans'!L42</f>
        <v>280</v>
      </c>
      <c r="H52">
        <f>'Corrective Action Plans'!L45</f>
        <v>816</v>
      </c>
      <c r="I52">
        <f>'Corrective Action Plans'!L48</f>
        <v>148</v>
      </c>
      <c r="J52">
        <f>'Corrective Action Plans'!L51</f>
        <v>240</v>
      </c>
      <c r="K52">
        <f t="shared" si="0"/>
        <v>1972</v>
      </c>
      <c r="L52">
        <f>'Form "A" Office'!J63</f>
        <v>0</v>
      </c>
      <c r="M52">
        <f t="shared" si="1"/>
        <v>0</v>
      </c>
      <c r="N52">
        <f t="shared" si="2"/>
        <v>0</v>
      </c>
      <c r="O52">
        <f t="shared" si="3"/>
        <v>0</v>
      </c>
      <c r="P52">
        <f t="shared" si="4"/>
        <v>0</v>
      </c>
      <c r="Q52">
        <f t="shared" si="5"/>
        <v>0</v>
      </c>
    </row>
    <row r="53" spans="1:18" x14ac:dyDescent="0.25">
      <c r="A53" s="10" t="s">
        <v>547</v>
      </c>
      <c r="F53">
        <f>'Corrective Action Plans'!L64</f>
        <v>854</v>
      </c>
      <c r="G53">
        <f>'Corrective Action Plans'!L67</f>
        <v>280</v>
      </c>
      <c r="H53">
        <f>'Corrective Action Plans'!L70</f>
        <v>408</v>
      </c>
      <c r="I53">
        <f>'Corrective Action Plans'!L73</f>
        <v>148</v>
      </c>
      <c r="J53">
        <f>'Corrective Action Plans'!L76</f>
        <v>240</v>
      </c>
      <c r="K53">
        <f t="shared" si="0"/>
        <v>1930</v>
      </c>
      <c r="L53">
        <f>'Form "A" Office'!J64</f>
        <v>0</v>
      </c>
      <c r="M53">
        <f t="shared" si="1"/>
        <v>0</v>
      </c>
      <c r="N53">
        <f t="shared" si="2"/>
        <v>0</v>
      </c>
      <c r="O53">
        <f t="shared" si="3"/>
        <v>0</v>
      </c>
      <c r="P53">
        <f t="shared" si="4"/>
        <v>0</v>
      </c>
      <c r="Q53">
        <f t="shared" si="5"/>
        <v>0</v>
      </c>
    </row>
    <row r="54" spans="1:18" x14ac:dyDescent="0.25">
      <c r="A54" s="30" t="s">
        <v>317</v>
      </c>
      <c r="F54">
        <f>'Corrective Action Plans'!L82</f>
        <v>1952</v>
      </c>
      <c r="G54">
        <f>'Corrective Action Plans'!L85</f>
        <v>2240</v>
      </c>
      <c r="H54">
        <f>'Corrective Action Plans'!L88</f>
        <v>714</v>
      </c>
      <c r="I54">
        <f>'Corrective Action Plans'!L91</f>
        <v>296</v>
      </c>
      <c r="J54">
        <f>'Corrective Action Plans'!L94</f>
        <v>240</v>
      </c>
      <c r="K54">
        <f t="shared" si="0"/>
        <v>5442</v>
      </c>
      <c r="L54">
        <f>'Form "A" Office'!J65</f>
        <v>0</v>
      </c>
      <c r="M54">
        <f t="shared" si="1"/>
        <v>0</v>
      </c>
      <c r="N54">
        <f t="shared" si="2"/>
        <v>0</v>
      </c>
      <c r="O54">
        <f t="shared" si="3"/>
        <v>0</v>
      </c>
      <c r="P54">
        <f t="shared" si="4"/>
        <v>0</v>
      </c>
      <c r="Q54">
        <f t="shared" si="5"/>
        <v>0</v>
      </c>
    </row>
    <row r="55" spans="1:18" x14ac:dyDescent="0.25">
      <c r="A55" s="10" t="s">
        <v>588</v>
      </c>
      <c r="F55">
        <f>'Corrective Action Plans'!L100</f>
        <v>1952</v>
      </c>
      <c r="G55">
        <f>'Corrective Action Plans'!L103</f>
        <v>3360</v>
      </c>
      <c r="H55">
        <f>'Corrective Action Plans'!L106</f>
        <v>816</v>
      </c>
      <c r="I55">
        <f>'Corrective Action Plans'!L109</f>
        <v>1776</v>
      </c>
      <c r="J55">
        <f>'Corrective Action Plans'!L112</f>
        <v>240</v>
      </c>
      <c r="K55">
        <f t="shared" si="0"/>
        <v>8144</v>
      </c>
      <c r="L55">
        <f>'Form "A" Office'!J66</f>
        <v>0</v>
      </c>
      <c r="M55">
        <f t="shared" si="1"/>
        <v>0</v>
      </c>
      <c r="N55">
        <f t="shared" si="2"/>
        <v>0</v>
      </c>
      <c r="O55">
        <f t="shared" si="3"/>
        <v>0</v>
      </c>
      <c r="P55">
        <f t="shared" si="4"/>
        <v>0</v>
      </c>
      <c r="Q55">
        <f t="shared" si="5"/>
        <v>0</v>
      </c>
    </row>
    <row r="56" spans="1:18" x14ac:dyDescent="0.25">
      <c r="A56" s="10" t="s">
        <v>587</v>
      </c>
      <c r="F56">
        <f>'Corrective Action Plans'!L125</f>
        <v>1952</v>
      </c>
      <c r="G56">
        <f>'Corrective Action Plans'!L128</f>
        <v>2800</v>
      </c>
      <c r="H56">
        <f>'Corrective Action Plans'!L131</f>
        <v>714</v>
      </c>
      <c r="I56">
        <f>'Corrective Action Plans'!L134</f>
        <v>1480</v>
      </c>
      <c r="J56">
        <f>'Corrective Action Plans'!L137</f>
        <v>240</v>
      </c>
      <c r="K56">
        <f t="shared" si="0"/>
        <v>7186</v>
      </c>
      <c r="L56">
        <f>'Form "A" Office'!J67</f>
        <v>0</v>
      </c>
      <c r="M56">
        <f t="shared" si="1"/>
        <v>0</v>
      </c>
      <c r="N56">
        <f t="shared" si="2"/>
        <v>0</v>
      </c>
      <c r="O56">
        <f t="shared" si="3"/>
        <v>0</v>
      </c>
      <c r="P56">
        <f t="shared" si="4"/>
        <v>0</v>
      </c>
      <c r="Q56">
        <f t="shared" si="5"/>
        <v>0</v>
      </c>
    </row>
    <row r="57" spans="1:18" x14ac:dyDescent="0.25">
      <c r="A57" s="10" t="s">
        <v>590</v>
      </c>
      <c r="F57">
        <f>'Corrective Action Plans'!L143</f>
        <v>1952</v>
      </c>
      <c r="G57">
        <f>'Corrective Action Plans'!L146</f>
        <v>2240</v>
      </c>
      <c r="H57">
        <f>'Corrective Action Plans'!L149</f>
        <v>714</v>
      </c>
      <c r="I57">
        <f>'Corrective Action Plans'!L152</f>
        <v>1480</v>
      </c>
      <c r="J57">
        <f>'Corrective Action Plans'!L155</f>
        <v>240</v>
      </c>
      <c r="K57">
        <f t="shared" si="0"/>
        <v>6626</v>
      </c>
      <c r="L57">
        <f>'Form "A" Office'!J68</f>
        <v>0</v>
      </c>
      <c r="M57">
        <f t="shared" si="1"/>
        <v>0</v>
      </c>
      <c r="N57">
        <f t="shared" si="2"/>
        <v>0</v>
      </c>
      <c r="O57">
        <f t="shared" si="3"/>
        <v>0</v>
      </c>
      <c r="P57">
        <f t="shared" si="4"/>
        <v>0</v>
      </c>
      <c r="Q57">
        <f t="shared" si="5"/>
        <v>0</v>
      </c>
    </row>
    <row r="58" spans="1:18" x14ac:dyDescent="0.25">
      <c r="A58" s="51" t="s">
        <v>84</v>
      </c>
      <c r="E58" t="str">
        <f>'Form "F" Details'!K60</f>
        <v/>
      </c>
      <c r="F58" t="str">
        <f>'Form "F" Details'!K50</f>
        <v/>
      </c>
      <c r="G58" t="str">
        <f>'Form "F" Details'!K54</f>
        <v/>
      </c>
      <c r="H58" t="str">
        <f>'Form "F" Details'!K57</f>
        <v/>
      </c>
      <c r="I58" t="str">
        <f>('Form "F" Details'!K63)</f>
        <v/>
      </c>
      <c r="J58" t="str">
        <f>'Form "F" Details'!K66</f>
        <v/>
      </c>
      <c r="K58">
        <f>SUM(E58:J58)</f>
        <v>0</v>
      </c>
      <c r="L58">
        <f>IF('Form "A" Office'!J69="",0,1)</f>
        <v>0</v>
      </c>
      <c r="M58">
        <f>IF(F58="",0,L58*F58)</f>
        <v>0</v>
      </c>
      <c r="N58">
        <f>IF(G58="",0,L58*G58)</f>
        <v>0</v>
      </c>
      <c r="O58">
        <f>IF(H58="",0,L58*H58)</f>
        <v>0</v>
      </c>
      <c r="P58">
        <f>IF(I58="",0,L58*I58)</f>
        <v>0</v>
      </c>
      <c r="Q58">
        <f>IF(J58="",0,L58*J58)</f>
        <v>0</v>
      </c>
      <c r="R58">
        <f>IF(E58="",0,L58*E58)</f>
        <v>0</v>
      </c>
    </row>
    <row r="59" spans="1:18" x14ac:dyDescent="0.25">
      <c r="A59" s="10" t="s">
        <v>420</v>
      </c>
      <c r="F59">
        <f>'Corrective Action Reports Eng'!L3</f>
        <v>976</v>
      </c>
      <c r="G59">
        <f>'Corrective Action Reports Eng'!L6</f>
        <v>560</v>
      </c>
      <c r="H59">
        <f>'Corrective Action Reports Eng'!L9</f>
        <v>612</v>
      </c>
      <c r="I59">
        <f>'Corrective Action Reports Eng'!L12</f>
        <v>148</v>
      </c>
      <c r="J59">
        <f>'Corrective Action Reports Eng'!L15</f>
        <v>120</v>
      </c>
      <c r="K59">
        <f t="shared" si="0"/>
        <v>2416</v>
      </c>
      <c r="L59">
        <f>'Form "A" Office'!J70</f>
        <v>0</v>
      </c>
      <c r="M59">
        <f t="shared" si="1"/>
        <v>0</v>
      </c>
      <c r="N59">
        <f t="shared" si="2"/>
        <v>0</v>
      </c>
      <c r="O59">
        <f t="shared" si="3"/>
        <v>0</v>
      </c>
      <c r="P59">
        <f t="shared" si="4"/>
        <v>0</v>
      </c>
      <c r="Q59">
        <f t="shared" si="5"/>
        <v>0</v>
      </c>
    </row>
    <row r="60" spans="1:18" x14ac:dyDescent="0.25">
      <c r="A60" s="10" t="s">
        <v>421</v>
      </c>
      <c r="F60">
        <f>'Corrective Action Reports Eng'!L21</f>
        <v>1220</v>
      </c>
      <c r="G60">
        <f>'Corrective Action Reports Eng'!L24</f>
        <v>1120</v>
      </c>
      <c r="H60">
        <f>'Corrective Action Reports Eng'!L27</f>
        <v>408</v>
      </c>
      <c r="I60">
        <f>'Corrective Action Reports Eng'!L30</f>
        <v>148</v>
      </c>
      <c r="J60">
        <f>'Corrective Action Reports Eng'!L33</f>
        <v>180</v>
      </c>
      <c r="K60">
        <f t="shared" si="0"/>
        <v>3076</v>
      </c>
      <c r="L60">
        <f>'Form "A" Office'!J71</f>
        <v>0</v>
      </c>
      <c r="M60">
        <f t="shared" si="1"/>
        <v>0</v>
      </c>
      <c r="N60">
        <f t="shared" si="2"/>
        <v>0</v>
      </c>
      <c r="O60">
        <f t="shared" si="3"/>
        <v>0</v>
      </c>
      <c r="P60">
        <f t="shared" si="4"/>
        <v>0</v>
      </c>
      <c r="Q60">
        <f t="shared" si="5"/>
        <v>0</v>
      </c>
    </row>
    <row r="61" spans="1:18" x14ac:dyDescent="0.25">
      <c r="A61" s="10" t="s">
        <v>369</v>
      </c>
      <c r="F61">
        <f>'Corrective Action Reports Eng'!L64</f>
        <v>3172</v>
      </c>
      <c r="G61">
        <f>'Corrective Action Reports Eng'!L67</f>
        <v>2240</v>
      </c>
      <c r="H61">
        <f>'Corrective Action Reports Eng'!L70</f>
        <v>2244</v>
      </c>
      <c r="I61">
        <f>'Corrective Action Reports Eng'!L73</f>
        <v>592</v>
      </c>
      <c r="J61">
        <f>'Corrective Action Reports Eng'!L76</f>
        <v>600</v>
      </c>
      <c r="K61">
        <f t="shared" si="0"/>
        <v>8848</v>
      </c>
      <c r="L61">
        <f>'Form "A" Office'!J72</f>
        <v>0</v>
      </c>
      <c r="M61">
        <f t="shared" si="1"/>
        <v>0</v>
      </c>
      <c r="N61">
        <f t="shared" si="2"/>
        <v>0</v>
      </c>
      <c r="O61">
        <f t="shared" si="3"/>
        <v>0</v>
      </c>
      <c r="P61">
        <f t="shared" si="4"/>
        <v>0</v>
      </c>
      <c r="Q61">
        <f t="shared" si="5"/>
        <v>0</v>
      </c>
    </row>
    <row r="62" spans="1:18" x14ac:dyDescent="0.25">
      <c r="A62" s="10" t="s">
        <v>527</v>
      </c>
      <c r="K62">
        <f t="shared" si="0"/>
        <v>0</v>
      </c>
      <c r="L62">
        <f>'Form "A" Office'!J73</f>
        <v>0</v>
      </c>
      <c r="M62">
        <f t="shared" si="1"/>
        <v>0</v>
      </c>
      <c r="N62">
        <f t="shared" si="2"/>
        <v>0</v>
      </c>
      <c r="O62">
        <f t="shared" si="3"/>
        <v>0</v>
      </c>
      <c r="P62">
        <f t="shared" si="4"/>
        <v>0</v>
      </c>
      <c r="Q62">
        <f t="shared" si="5"/>
        <v>0</v>
      </c>
    </row>
    <row r="63" spans="1:18" x14ac:dyDescent="0.25">
      <c r="A63" s="10"/>
      <c r="B63" s="31" t="s">
        <v>531</v>
      </c>
      <c r="F63">
        <f>'Corrective Action Reports Eng'!L82</f>
        <v>1708</v>
      </c>
      <c r="G63">
        <f>'Corrective Action Reports Eng'!L85</f>
        <v>1120</v>
      </c>
      <c r="H63">
        <f>'Corrective Action Reports Eng'!L88</f>
        <v>2244</v>
      </c>
      <c r="I63">
        <f>'Corrective Action Reports Eng'!L91</f>
        <v>222</v>
      </c>
      <c r="J63">
        <f>'Corrective Action Reports Eng'!L94</f>
        <v>480</v>
      </c>
      <c r="K63">
        <f t="shared" si="0"/>
        <v>5774</v>
      </c>
      <c r="L63">
        <f>'Form "A" Office'!J74</f>
        <v>0</v>
      </c>
      <c r="M63">
        <f t="shared" si="1"/>
        <v>0</v>
      </c>
      <c r="N63">
        <f t="shared" si="2"/>
        <v>0</v>
      </c>
      <c r="O63">
        <f t="shared" si="3"/>
        <v>0</v>
      </c>
      <c r="P63">
        <f t="shared" si="4"/>
        <v>0</v>
      </c>
      <c r="Q63">
        <f t="shared" si="5"/>
        <v>0</v>
      </c>
    </row>
    <row r="64" spans="1:18" x14ac:dyDescent="0.25">
      <c r="A64" s="10"/>
      <c r="B64" t="s">
        <v>406</v>
      </c>
      <c r="F64">
        <f>'Corrective Action Reports Eng'!L100</f>
        <v>1708</v>
      </c>
      <c r="G64">
        <f>'Corrective Action Reports Eng'!L103</f>
        <v>1120</v>
      </c>
      <c r="H64">
        <f>'Corrective Action Reports Eng'!L106</f>
        <v>2448</v>
      </c>
      <c r="I64">
        <f>'Corrective Action Reports Eng'!L109</f>
        <v>296</v>
      </c>
      <c r="J64">
        <f>'Corrective Action Reports Eng'!L112</f>
        <v>480</v>
      </c>
      <c r="K64">
        <f t="shared" si="0"/>
        <v>6052</v>
      </c>
      <c r="L64">
        <f>'Form "A" Office'!J75</f>
        <v>0</v>
      </c>
      <c r="M64">
        <f t="shared" si="1"/>
        <v>0</v>
      </c>
      <c r="N64">
        <f t="shared" si="2"/>
        <v>0</v>
      </c>
      <c r="O64">
        <f t="shared" si="3"/>
        <v>0</v>
      </c>
      <c r="P64">
        <f t="shared" si="4"/>
        <v>0</v>
      </c>
      <c r="Q64">
        <f t="shared" si="5"/>
        <v>0</v>
      </c>
    </row>
    <row r="65" spans="1:17" x14ac:dyDescent="0.25">
      <c r="A65" s="10" t="s">
        <v>459</v>
      </c>
      <c r="K65">
        <f t="shared" si="0"/>
        <v>0</v>
      </c>
      <c r="L65">
        <f>'Form "A" Office'!J76</f>
        <v>0</v>
      </c>
      <c r="M65">
        <f t="shared" si="1"/>
        <v>0</v>
      </c>
      <c r="N65">
        <f t="shared" si="2"/>
        <v>0</v>
      </c>
      <c r="O65">
        <f t="shared" si="3"/>
        <v>0</v>
      </c>
      <c r="P65">
        <f t="shared" si="4"/>
        <v>0</v>
      </c>
      <c r="Q65">
        <f t="shared" si="5"/>
        <v>0</v>
      </c>
    </row>
    <row r="66" spans="1:17" x14ac:dyDescent="0.25">
      <c r="A66" s="10"/>
      <c r="B66" s="31" t="s">
        <v>531</v>
      </c>
      <c r="F66">
        <f>'Corrective Action Reports Eng'!L118</f>
        <v>1464</v>
      </c>
      <c r="G66">
        <f>'Corrective Action Reports Eng'!L121</f>
        <v>1120</v>
      </c>
      <c r="H66">
        <f>'Corrective Action Reports Eng'!L124</f>
        <v>1836</v>
      </c>
      <c r="I66">
        <f>'Corrective Action Reports Eng'!L127</f>
        <v>222</v>
      </c>
      <c r="J66">
        <f>'Corrective Action Reports Eng'!L130</f>
        <v>480</v>
      </c>
      <c r="K66">
        <f t="shared" si="0"/>
        <v>5122</v>
      </c>
      <c r="L66">
        <f>'Form "A" Office'!J77</f>
        <v>0</v>
      </c>
      <c r="M66">
        <f t="shared" si="1"/>
        <v>0</v>
      </c>
      <c r="N66">
        <f t="shared" si="2"/>
        <v>0</v>
      </c>
      <c r="O66">
        <f t="shared" si="3"/>
        <v>0</v>
      </c>
      <c r="P66">
        <f t="shared" si="4"/>
        <v>0</v>
      </c>
      <c r="Q66">
        <f t="shared" si="5"/>
        <v>0</v>
      </c>
    </row>
    <row r="67" spans="1:17" x14ac:dyDescent="0.25">
      <c r="A67" s="10"/>
      <c r="B67" t="s">
        <v>406</v>
      </c>
      <c r="F67">
        <f>'Corrective Action Reports Eng'!L136</f>
        <v>1464</v>
      </c>
      <c r="G67">
        <f>'Corrective Action Reports Eng'!L139</f>
        <v>1120</v>
      </c>
      <c r="H67">
        <f>'Corrective Action Reports Eng'!L142</f>
        <v>2040</v>
      </c>
      <c r="I67">
        <f>'Corrective Action Reports Eng'!L145</f>
        <v>296</v>
      </c>
      <c r="J67">
        <f>'Corrective Action Reports Eng'!L148</f>
        <v>480</v>
      </c>
      <c r="K67">
        <f t="shared" si="0"/>
        <v>5400</v>
      </c>
      <c r="L67">
        <f>'Form "A" Office'!J78</f>
        <v>0</v>
      </c>
      <c r="M67">
        <f t="shared" si="1"/>
        <v>0</v>
      </c>
      <c r="N67">
        <f t="shared" si="2"/>
        <v>0</v>
      </c>
      <c r="O67">
        <f t="shared" si="3"/>
        <v>0</v>
      </c>
      <c r="P67">
        <f t="shared" si="4"/>
        <v>0</v>
      </c>
      <c r="Q67">
        <f t="shared" si="5"/>
        <v>0</v>
      </c>
    </row>
    <row r="68" spans="1:17" x14ac:dyDescent="0.25">
      <c r="A68" s="10" t="s">
        <v>532</v>
      </c>
      <c r="H68">
        <f>'Corrective Action Reports Eng'!D153</f>
        <v>25.5</v>
      </c>
      <c r="I68">
        <f>'Corrective Action Reports Eng'!G153</f>
        <v>18.5</v>
      </c>
      <c r="K68">
        <f>SUM(F68:J68)</f>
        <v>44</v>
      </c>
      <c r="L68">
        <f>'Form "A" Office'!J79</f>
        <v>0</v>
      </c>
      <c r="M68">
        <f t="shared" si="1"/>
        <v>0</v>
      </c>
      <c r="N68">
        <f t="shared" si="2"/>
        <v>0</v>
      </c>
      <c r="O68">
        <f t="shared" si="3"/>
        <v>0</v>
      </c>
      <c r="P68">
        <f t="shared" si="4"/>
        <v>0</v>
      </c>
      <c r="Q68">
        <f t="shared" si="5"/>
        <v>0</v>
      </c>
    </row>
    <row r="69" spans="1:17" x14ac:dyDescent="0.25">
      <c r="A69" s="10" t="s">
        <v>471</v>
      </c>
      <c r="H69">
        <f>'Corrective Action Reports Eng'!D156</f>
        <v>30.599999999999998</v>
      </c>
      <c r="I69">
        <f>'Corrective Action Reports Eng'!G156</f>
        <v>22.2</v>
      </c>
      <c r="K69">
        <f t="shared" si="0"/>
        <v>52.8</v>
      </c>
      <c r="L69">
        <f>'Form "A" Office'!J80</f>
        <v>0</v>
      </c>
      <c r="M69">
        <f t="shared" si="1"/>
        <v>0</v>
      </c>
      <c r="N69">
        <f t="shared" si="2"/>
        <v>0</v>
      </c>
      <c r="O69">
        <f t="shared" si="3"/>
        <v>0</v>
      </c>
      <c r="P69">
        <f t="shared" si="4"/>
        <v>0</v>
      </c>
      <c r="Q69">
        <f t="shared" si="5"/>
        <v>0</v>
      </c>
    </row>
    <row r="70" spans="1:17" x14ac:dyDescent="0.25">
      <c r="A70" s="10"/>
    </row>
    <row r="71" spans="1:17" x14ac:dyDescent="0.25">
      <c r="A71" s="10" t="s">
        <v>544</v>
      </c>
      <c r="F71">
        <f>'MISC Plans Reports'!L3</f>
        <v>366</v>
      </c>
      <c r="G71">
        <f>'MISC Plans Reports'!L6</f>
        <v>140</v>
      </c>
      <c r="H71">
        <f>'MISC Plans Reports'!L9</f>
        <v>102</v>
      </c>
      <c r="I71">
        <f>'MISC Plans Reports'!L12</f>
        <v>0</v>
      </c>
      <c r="J71">
        <f>'MISC Plans Reports'!L15</f>
        <v>60</v>
      </c>
      <c r="K71">
        <f t="shared" si="0"/>
        <v>668</v>
      </c>
      <c r="L71">
        <f>'Form "A" Office'!J90</f>
        <v>0</v>
      </c>
      <c r="M71">
        <f t="shared" si="1"/>
        <v>0</v>
      </c>
      <c r="N71">
        <f t="shared" si="2"/>
        <v>0</v>
      </c>
      <c r="O71">
        <f t="shared" si="3"/>
        <v>0</v>
      </c>
      <c r="P71">
        <f t="shared" si="4"/>
        <v>0</v>
      </c>
      <c r="Q71">
        <f t="shared" si="5"/>
        <v>0</v>
      </c>
    </row>
    <row r="72" spans="1:17" x14ac:dyDescent="0.25">
      <c r="A72" s="10" t="s">
        <v>545</v>
      </c>
      <c r="F72">
        <f>'MISC Plans Reports'!L21</f>
        <v>488</v>
      </c>
      <c r="G72">
        <f>'MISC Plans Reports'!L24</f>
        <v>140</v>
      </c>
      <c r="H72">
        <f>'MISC Plans Reports'!L27</f>
        <v>204</v>
      </c>
      <c r="I72">
        <f>'MISC Plans Reports'!L30</f>
        <v>0</v>
      </c>
      <c r="J72">
        <f>'MISC Plans Reports'!L33</f>
        <v>240</v>
      </c>
      <c r="K72">
        <f t="shared" ref="K72:K98" si="6">SUM(F72:J72)</f>
        <v>1072</v>
      </c>
      <c r="L72">
        <f>'Form "A" Office'!J91</f>
        <v>0</v>
      </c>
      <c r="M72">
        <f t="shared" ref="M72:M96" si="7">F72*L72</f>
        <v>0</v>
      </c>
      <c r="N72">
        <f t="shared" ref="N72:N96" si="8">G72*L72</f>
        <v>0</v>
      </c>
      <c r="O72">
        <f t="shared" ref="O72:O96" si="9">H72*L72</f>
        <v>0</v>
      </c>
      <c r="P72">
        <f t="shared" ref="P72:P96" si="10">I72*L72</f>
        <v>0</v>
      </c>
      <c r="Q72">
        <f t="shared" ref="Q72:Q98" si="11">J72*L72</f>
        <v>0</v>
      </c>
    </row>
    <row r="73" spans="1:17" x14ac:dyDescent="0.25">
      <c r="A73" s="10" t="s">
        <v>64</v>
      </c>
      <c r="F73">
        <f>'Aquifer Pilot Pl Rpt Fld'!L39</f>
        <v>610</v>
      </c>
      <c r="G73">
        <f>'Aquifer Pilot Pl Rpt Fld'!L42</f>
        <v>140</v>
      </c>
      <c r="H73">
        <f>'Aquifer Pilot Pl Rpt Fld'!L45</f>
        <v>306</v>
      </c>
      <c r="I73">
        <f>'Aquifer Pilot Pl Rpt Fld'!L48</f>
        <v>74</v>
      </c>
      <c r="J73">
        <f>'Aquifer Pilot Pl Rpt Fld'!L51</f>
        <v>120</v>
      </c>
      <c r="K73">
        <f t="shared" si="6"/>
        <v>1250</v>
      </c>
      <c r="L73">
        <f>'Form "A" Office'!J92</f>
        <v>0</v>
      </c>
      <c r="M73">
        <f t="shared" si="7"/>
        <v>0</v>
      </c>
      <c r="N73">
        <f t="shared" si="8"/>
        <v>0</v>
      </c>
      <c r="O73">
        <f t="shared" si="9"/>
        <v>0</v>
      </c>
      <c r="P73">
        <f t="shared" si="10"/>
        <v>0</v>
      </c>
      <c r="Q73">
        <f t="shared" si="11"/>
        <v>0</v>
      </c>
    </row>
    <row r="74" spans="1:17" x14ac:dyDescent="0.25">
      <c r="A74" s="10" t="s">
        <v>140</v>
      </c>
      <c r="F74">
        <f>'Aquifer Pilot Pl Rpt Fld'!L57</f>
        <v>610</v>
      </c>
      <c r="G74">
        <f>'Aquifer Pilot Pl Rpt Fld'!L60</f>
        <v>280</v>
      </c>
      <c r="H74">
        <f>'Aquifer Pilot Pl Rpt Fld'!L63</f>
        <v>612</v>
      </c>
      <c r="I74">
        <f>'Aquifer Pilot Pl Rpt Fld'!L66</f>
        <v>222</v>
      </c>
      <c r="J74">
        <f>'Aquifer Pilot Pl Rpt Fld'!L69</f>
        <v>240</v>
      </c>
      <c r="K74">
        <f t="shared" si="6"/>
        <v>1964</v>
      </c>
      <c r="L74">
        <f>'Form "A" Office'!J93</f>
        <v>0</v>
      </c>
      <c r="M74">
        <f t="shared" si="7"/>
        <v>0</v>
      </c>
      <c r="N74">
        <f t="shared" si="8"/>
        <v>0</v>
      </c>
      <c r="O74">
        <f t="shared" si="9"/>
        <v>0</v>
      </c>
      <c r="P74">
        <f t="shared" si="10"/>
        <v>0</v>
      </c>
      <c r="Q74">
        <f t="shared" si="11"/>
        <v>0</v>
      </c>
    </row>
    <row r="75" spans="1:17" x14ac:dyDescent="0.25">
      <c r="A75" s="10" t="s">
        <v>65</v>
      </c>
      <c r="F75">
        <f>'Aquifer Pilot Pl Rpt Fld'!L75</f>
        <v>610</v>
      </c>
      <c r="G75">
        <f>'Aquifer Pilot Pl Rpt Fld'!L78</f>
        <v>140</v>
      </c>
      <c r="H75">
        <f>'Aquifer Pilot Pl Rpt Fld'!L81</f>
        <v>306</v>
      </c>
      <c r="I75">
        <f>'Aquifer Pilot Pl Rpt Fld'!L84</f>
        <v>74</v>
      </c>
      <c r="J75">
        <f>'Aquifer Pilot Pl Rpt Fld'!L87</f>
        <v>120</v>
      </c>
      <c r="K75">
        <f t="shared" si="6"/>
        <v>1250</v>
      </c>
      <c r="L75">
        <f>'Form "A" Office'!J94</f>
        <v>0</v>
      </c>
      <c r="M75">
        <f>F75*L75</f>
        <v>0</v>
      </c>
      <c r="N75">
        <f>G75*L75</f>
        <v>0</v>
      </c>
      <c r="O75">
        <f>H75*L75</f>
        <v>0</v>
      </c>
      <c r="P75">
        <f>I75*L75</f>
        <v>0</v>
      </c>
      <c r="Q75">
        <f>J75*L75</f>
        <v>0</v>
      </c>
    </row>
    <row r="76" spans="1:17" x14ac:dyDescent="0.25">
      <c r="A76" s="10" t="s">
        <v>145</v>
      </c>
      <c r="F76">
        <f>'Aquifer Pilot Pl Rpt Fld'!L93</f>
        <v>610</v>
      </c>
      <c r="G76">
        <f>'Aquifer Pilot Pl Rpt Fld'!L96</f>
        <v>280</v>
      </c>
      <c r="H76">
        <f>'Aquifer Pilot Pl Rpt Fld'!L99</f>
        <v>612</v>
      </c>
      <c r="I76">
        <f>'Aquifer Pilot Pl Rpt Fld'!L102</f>
        <v>222</v>
      </c>
      <c r="J76">
        <f>'Aquifer Pilot Pl Rpt Fld'!L105</f>
        <v>240</v>
      </c>
      <c r="K76">
        <f t="shared" si="6"/>
        <v>1964</v>
      </c>
      <c r="L76">
        <f>'Form "A" Office'!J95</f>
        <v>0</v>
      </c>
      <c r="M76">
        <f>F76*L76</f>
        <v>0</v>
      </c>
      <c r="N76">
        <f>G76*L76</f>
        <v>0</v>
      </c>
      <c r="O76">
        <f>H76*L76</f>
        <v>0</v>
      </c>
      <c r="P76">
        <f>I76*L76</f>
        <v>0</v>
      </c>
      <c r="Q76">
        <f>J76*L76</f>
        <v>0</v>
      </c>
    </row>
    <row r="77" spans="1:17" x14ac:dyDescent="0.25">
      <c r="A77" s="10" t="s">
        <v>66</v>
      </c>
      <c r="F77">
        <f>'Aquifer Pilot Pl Rpt Fld'!L111</f>
        <v>610</v>
      </c>
      <c r="G77">
        <f>'Aquifer Pilot Pl Rpt Fld'!L114</f>
        <v>140</v>
      </c>
      <c r="H77">
        <f>'Aquifer Pilot Pl Rpt Fld'!L117</f>
        <v>306</v>
      </c>
      <c r="I77">
        <f>'Aquifer Pilot Pl Rpt Fld'!L120</f>
        <v>74</v>
      </c>
      <c r="J77">
        <f>'Aquifer Pilot Pl Rpt Fld'!L123</f>
        <v>120</v>
      </c>
      <c r="K77">
        <f t="shared" si="6"/>
        <v>1250</v>
      </c>
      <c r="L77">
        <f>'Form "A" Office'!J96</f>
        <v>0</v>
      </c>
      <c r="M77">
        <f>F77*L77</f>
        <v>0</v>
      </c>
      <c r="N77">
        <f>G77*L77</f>
        <v>0</v>
      </c>
      <c r="O77">
        <f>H77*L77</f>
        <v>0</v>
      </c>
      <c r="P77">
        <f>I77*L77</f>
        <v>0</v>
      </c>
      <c r="Q77">
        <f>J77*L77</f>
        <v>0</v>
      </c>
    </row>
    <row r="78" spans="1:17" x14ac:dyDescent="0.25">
      <c r="A78" s="10" t="s">
        <v>67</v>
      </c>
      <c r="F78">
        <f>'Aquifer Pilot Pl Rpt Fld'!L129</f>
        <v>610</v>
      </c>
      <c r="G78">
        <f>'Aquifer Pilot Pl Rpt Fld'!L132</f>
        <v>280</v>
      </c>
      <c r="H78">
        <f>'Aquifer Pilot Pl Rpt Fld'!L135</f>
        <v>816</v>
      </c>
      <c r="I78">
        <f>'Aquifer Pilot Pl Rpt Fld'!L138</f>
        <v>222</v>
      </c>
      <c r="J78">
        <f>'Aquifer Pilot Pl Rpt Fld'!L141</f>
        <v>240</v>
      </c>
      <c r="K78">
        <f t="shared" si="6"/>
        <v>2168</v>
      </c>
      <c r="L78">
        <f>'Form "A" Office'!J97</f>
        <v>0</v>
      </c>
      <c r="M78">
        <f>F78*L78</f>
        <v>0</v>
      </c>
      <c r="N78">
        <f>G78*L78</f>
        <v>0</v>
      </c>
      <c r="O78">
        <f>H78*L78</f>
        <v>0</v>
      </c>
      <c r="P78">
        <f>I78*L78</f>
        <v>0</v>
      </c>
      <c r="Q78">
        <f>J78*L78</f>
        <v>0</v>
      </c>
    </row>
    <row r="79" spans="1:17" x14ac:dyDescent="0.25">
      <c r="A79" s="10" t="s">
        <v>585</v>
      </c>
      <c r="F79">
        <f>'Aquifer Pilot Pl Rpt Fld'!L3</f>
        <v>122</v>
      </c>
      <c r="G79">
        <f>'Aquifer Pilot Pl Rpt Fld'!L6</f>
        <v>140</v>
      </c>
      <c r="H79">
        <f>'Aquifer Pilot Pl Rpt Fld'!L9</f>
        <v>102</v>
      </c>
      <c r="I79">
        <f>'Aquifer Pilot Pl Rpt Fld'!L12</f>
        <v>0</v>
      </c>
      <c r="J79">
        <f>'Aquifer Pilot Pl Rpt Fld'!L15</f>
        <v>60</v>
      </c>
      <c r="K79">
        <f t="shared" si="6"/>
        <v>424</v>
      </c>
      <c r="L79">
        <f>'Form "A" Office'!J98</f>
        <v>0</v>
      </c>
      <c r="M79">
        <f t="shared" si="7"/>
        <v>0</v>
      </c>
      <c r="N79">
        <f t="shared" si="8"/>
        <v>0</v>
      </c>
      <c r="O79">
        <f t="shared" si="9"/>
        <v>0</v>
      </c>
      <c r="P79">
        <f t="shared" si="10"/>
        <v>0</v>
      </c>
      <c r="Q79">
        <f t="shared" si="11"/>
        <v>0</v>
      </c>
    </row>
    <row r="80" spans="1:17" x14ac:dyDescent="0.25">
      <c r="A80" s="10" t="s">
        <v>586</v>
      </c>
      <c r="F80">
        <f>'Aquifer Pilot Pl Rpt Fld'!L21</f>
        <v>488</v>
      </c>
      <c r="G80">
        <f>'Aquifer Pilot Pl Rpt Fld'!L24</f>
        <v>140</v>
      </c>
      <c r="H80">
        <f>'Aquifer Pilot Pl Rpt Fld'!L27</f>
        <v>612</v>
      </c>
      <c r="I80">
        <f>'Aquifer Pilot Pl Rpt Fld'!L30</f>
        <v>148</v>
      </c>
      <c r="J80">
        <f>'Aquifer Pilot Pl Rpt Fld'!L33</f>
        <v>240</v>
      </c>
      <c r="K80">
        <f t="shared" si="6"/>
        <v>1628</v>
      </c>
      <c r="L80">
        <f>'Form "A" Office'!J99</f>
        <v>0</v>
      </c>
      <c r="M80">
        <f t="shared" si="7"/>
        <v>0</v>
      </c>
      <c r="N80">
        <f t="shared" si="8"/>
        <v>0</v>
      </c>
      <c r="O80">
        <f t="shared" si="9"/>
        <v>0</v>
      </c>
      <c r="P80">
        <f t="shared" si="10"/>
        <v>0</v>
      </c>
      <c r="Q80">
        <f t="shared" si="11"/>
        <v>0</v>
      </c>
    </row>
    <row r="81" spans="1:17" x14ac:dyDescent="0.25">
      <c r="A81" s="10" t="s">
        <v>402</v>
      </c>
      <c r="F81">
        <f>'Corrective Action Reports Eng'!L39</f>
        <v>1098</v>
      </c>
      <c r="G81">
        <f>'Corrective Action Reports Eng'!L42</f>
        <v>140</v>
      </c>
      <c r="H81">
        <f>'Corrective Action Reports Eng'!L45</f>
        <v>0</v>
      </c>
      <c r="I81">
        <f>'Corrective Action Reports Eng'!L48</f>
        <v>0</v>
      </c>
      <c r="J81">
        <f>'Corrective Action Reports Eng'!L51</f>
        <v>300</v>
      </c>
      <c r="K81">
        <f t="shared" si="6"/>
        <v>1538</v>
      </c>
      <c r="L81">
        <f>'Form "A" Office'!J100</f>
        <v>0</v>
      </c>
      <c r="M81">
        <f t="shared" si="7"/>
        <v>0</v>
      </c>
      <c r="N81">
        <f t="shared" si="8"/>
        <v>0</v>
      </c>
      <c r="O81">
        <f t="shared" si="9"/>
        <v>0</v>
      </c>
      <c r="P81">
        <f t="shared" si="10"/>
        <v>0</v>
      </c>
      <c r="Q81">
        <f t="shared" si="11"/>
        <v>0</v>
      </c>
    </row>
    <row r="82" spans="1:17" x14ac:dyDescent="0.25">
      <c r="A82" s="30" t="s">
        <v>318</v>
      </c>
      <c r="F82">
        <f>'MW Abandon Plan Report Field'!L3</f>
        <v>122</v>
      </c>
      <c r="G82">
        <f>'MW Abandon Plan Report Field'!L6</f>
        <v>70</v>
      </c>
      <c r="H82">
        <f>'MW Abandon Plan Report Field'!L9</f>
        <v>204</v>
      </c>
      <c r="I82">
        <f>'MW Abandon Plan Report Field'!L12</f>
        <v>0</v>
      </c>
      <c r="J82">
        <f>'MW Abandon Plan Report Field'!L15</f>
        <v>120</v>
      </c>
      <c r="K82">
        <f t="shared" si="6"/>
        <v>516</v>
      </c>
      <c r="L82">
        <f>'Form "A" Office'!J101</f>
        <v>0</v>
      </c>
      <c r="M82">
        <f t="shared" si="7"/>
        <v>0</v>
      </c>
      <c r="N82">
        <f t="shared" si="8"/>
        <v>0</v>
      </c>
      <c r="O82">
        <f t="shared" si="9"/>
        <v>0</v>
      </c>
      <c r="P82">
        <f t="shared" si="10"/>
        <v>0</v>
      </c>
      <c r="Q82">
        <f t="shared" si="11"/>
        <v>0</v>
      </c>
    </row>
    <row r="83" spans="1:17" x14ac:dyDescent="0.25">
      <c r="A83" s="30" t="s">
        <v>319</v>
      </c>
      <c r="F83">
        <f>'MW Abandon Plan Report Field'!L21</f>
        <v>488</v>
      </c>
      <c r="G83">
        <f>'MW Abandon Plan Report Field'!L24</f>
        <v>140</v>
      </c>
      <c r="H83">
        <f>'MW Abandon Plan Report Field'!L27</f>
        <v>204</v>
      </c>
      <c r="I83">
        <f>'MW Abandon Plan Report Field'!L30</f>
        <v>74</v>
      </c>
      <c r="J83">
        <f>'MW Abandon Plan Report Field'!L33</f>
        <v>240</v>
      </c>
      <c r="K83">
        <f t="shared" si="6"/>
        <v>1146</v>
      </c>
      <c r="L83">
        <f>'Form "A" Office'!J102</f>
        <v>0</v>
      </c>
      <c r="M83">
        <f t="shared" si="7"/>
        <v>0</v>
      </c>
      <c r="N83">
        <f t="shared" si="8"/>
        <v>0</v>
      </c>
      <c r="O83">
        <f t="shared" si="9"/>
        <v>0</v>
      </c>
      <c r="P83">
        <f t="shared" si="10"/>
        <v>0</v>
      </c>
      <c r="Q83">
        <f t="shared" si="11"/>
        <v>0</v>
      </c>
    </row>
    <row r="84" spans="1:17" x14ac:dyDescent="0.25">
      <c r="A84" s="30" t="s">
        <v>352</v>
      </c>
      <c r="F84">
        <f>'MW Abandon Plan Report Field'!L39</f>
        <v>488</v>
      </c>
      <c r="G84">
        <f>'MW Abandon Plan Report Field'!L42</f>
        <v>140</v>
      </c>
      <c r="H84">
        <f>'MW Abandon Plan Report Field'!L45</f>
        <v>204</v>
      </c>
      <c r="I84">
        <f>'MW Abandon Plan Report Field'!L48</f>
        <v>74</v>
      </c>
      <c r="J84">
        <f>'MW Abandon Plan Report Field'!L51</f>
        <v>120</v>
      </c>
      <c r="K84">
        <f t="shared" si="6"/>
        <v>1026</v>
      </c>
      <c r="L84">
        <f>'Form "A" Office'!J103</f>
        <v>0</v>
      </c>
      <c r="M84">
        <f t="shared" si="7"/>
        <v>0</v>
      </c>
      <c r="N84">
        <f t="shared" si="8"/>
        <v>0</v>
      </c>
      <c r="O84">
        <f t="shared" si="9"/>
        <v>0</v>
      </c>
      <c r="P84">
        <f t="shared" si="10"/>
        <v>0</v>
      </c>
      <c r="Q84">
        <f t="shared" si="11"/>
        <v>0</v>
      </c>
    </row>
    <row r="85" spans="1:17" x14ac:dyDescent="0.25">
      <c r="A85" s="30" t="s">
        <v>412</v>
      </c>
      <c r="F85">
        <f>'MW Abandon Plan Report Field'!L64</f>
        <v>976</v>
      </c>
      <c r="G85">
        <f>'MW Abandon Plan Report Field'!L67</f>
        <v>140</v>
      </c>
      <c r="H85">
        <f>'MW Abandon Plan Report Field'!L70</f>
        <v>612</v>
      </c>
      <c r="I85">
        <f>'MW Abandon Plan Report Field'!L73</f>
        <v>74</v>
      </c>
      <c r="J85">
        <f>'MW Abandon Plan Report Field'!L76</f>
        <v>240</v>
      </c>
      <c r="K85">
        <f t="shared" si="6"/>
        <v>2042</v>
      </c>
      <c r="L85">
        <f>'Form "A" Office'!J104</f>
        <v>0</v>
      </c>
      <c r="M85">
        <f t="shared" si="7"/>
        <v>0</v>
      </c>
      <c r="N85">
        <f t="shared" si="8"/>
        <v>0</v>
      </c>
      <c r="O85">
        <f t="shared" si="9"/>
        <v>0</v>
      </c>
      <c r="P85">
        <f t="shared" si="10"/>
        <v>0</v>
      </c>
      <c r="Q85">
        <f t="shared" si="11"/>
        <v>0</v>
      </c>
    </row>
    <row r="86" spans="1:17" x14ac:dyDescent="0.25">
      <c r="A86" s="10" t="s">
        <v>403</v>
      </c>
      <c r="F86">
        <f>'MISC Plans Reports'!L39</f>
        <v>366</v>
      </c>
      <c r="G86">
        <f>'MISC Plans Reports'!L42</f>
        <v>140</v>
      </c>
      <c r="H86">
        <f>'MISC Plans Reports'!L45</f>
        <v>102</v>
      </c>
      <c r="I86">
        <f>'MISC Plans Reports'!L48</f>
        <v>74</v>
      </c>
      <c r="J86">
        <f>'MISC Plans Reports'!L51</f>
        <v>120</v>
      </c>
      <c r="K86">
        <f t="shared" si="6"/>
        <v>802</v>
      </c>
      <c r="L86">
        <f>'Form "A" Office'!J105</f>
        <v>0</v>
      </c>
      <c r="M86">
        <f t="shared" si="7"/>
        <v>0</v>
      </c>
      <c r="N86">
        <f t="shared" si="8"/>
        <v>0</v>
      </c>
      <c r="O86">
        <f t="shared" si="9"/>
        <v>0</v>
      </c>
      <c r="P86">
        <f t="shared" si="10"/>
        <v>0</v>
      </c>
      <c r="Q86">
        <f t="shared" si="11"/>
        <v>0</v>
      </c>
    </row>
    <row r="87" spans="1:17" x14ac:dyDescent="0.25">
      <c r="A87" s="10" t="s">
        <v>407</v>
      </c>
      <c r="F87">
        <f>'MISC Plans Reports'!L64</f>
        <v>488</v>
      </c>
      <c r="G87">
        <f>'MISC Plans Reports'!L67</f>
        <v>140</v>
      </c>
      <c r="H87">
        <f>'MISC Plans Reports'!L70</f>
        <v>306</v>
      </c>
      <c r="I87">
        <f>'MISC Plans Reports'!L73</f>
        <v>74</v>
      </c>
      <c r="J87">
        <f>'MISC Plans Reports'!L76</f>
        <v>240</v>
      </c>
      <c r="K87">
        <f t="shared" si="6"/>
        <v>1248</v>
      </c>
      <c r="L87">
        <f>'Form "A" Office'!J106</f>
        <v>0</v>
      </c>
      <c r="M87">
        <f t="shared" si="7"/>
        <v>0</v>
      </c>
      <c r="N87">
        <f t="shared" si="8"/>
        <v>0</v>
      </c>
      <c r="O87">
        <f t="shared" si="9"/>
        <v>0</v>
      </c>
      <c r="P87">
        <f t="shared" si="10"/>
        <v>0</v>
      </c>
      <c r="Q87">
        <f t="shared" si="11"/>
        <v>0</v>
      </c>
    </row>
    <row r="88" spans="1:17" x14ac:dyDescent="0.25">
      <c r="A88" s="10" t="s">
        <v>68</v>
      </c>
      <c r="F88">
        <f>'MISC Plans Reports'!L169</f>
        <v>732</v>
      </c>
      <c r="G88">
        <f>'MISC Plans Reports'!L172</f>
        <v>140</v>
      </c>
      <c r="H88">
        <f>'MISC Plans Reports'!L175</f>
        <v>102</v>
      </c>
      <c r="I88">
        <f>'MISC Plans Reports'!L178</f>
        <v>74</v>
      </c>
      <c r="J88">
        <f>'MISC Plans Reports'!L181</f>
        <v>120</v>
      </c>
      <c r="K88">
        <f t="shared" si="6"/>
        <v>1168</v>
      </c>
      <c r="L88">
        <f>'Form "A" Office'!J107</f>
        <v>0</v>
      </c>
      <c r="M88">
        <f>F88*L88</f>
        <v>0</v>
      </c>
      <c r="N88">
        <f>G88*L88</f>
        <v>0</v>
      </c>
      <c r="O88">
        <f>H88*L88</f>
        <v>0</v>
      </c>
      <c r="P88">
        <f>I88*L88</f>
        <v>0</v>
      </c>
      <c r="Q88">
        <f>J88*L88</f>
        <v>0</v>
      </c>
    </row>
    <row r="89" spans="1:17" x14ac:dyDescent="0.25">
      <c r="A89" s="10" t="s">
        <v>69</v>
      </c>
      <c r="F89">
        <f>'MISC Plans Reports'!L187</f>
        <v>976</v>
      </c>
      <c r="G89">
        <f>'MISC Plans Reports'!L190</f>
        <v>140</v>
      </c>
      <c r="H89">
        <f>'MISC Plans Reports'!L193</f>
        <v>306</v>
      </c>
      <c r="I89">
        <f>'MISC Plans Reports'!L196</f>
        <v>74</v>
      </c>
      <c r="J89">
        <f>'MISC Plans Reports'!L199</f>
        <v>240</v>
      </c>
      <c r="K89">
        <f t="shared" si="6"/>
        <v>1736</v>
      </c>
      <c r="L89">
        <f>'Form "A" Office'!J108</f>
        <v>0</v>
      </c>
      <c r="M89">
        <f>F89*L89</f>
        <v>0</v>
      </c>
      <c r="N89">
        <f>G89*L89</f>
        <v>0</v>
      </c>
      <c r="O89">
        <f>H89*L89</f>
        <v>0</v>
      </c>
      <c r="P89">
        <f>I89*L89</f>
        <v>0</v>
      </c>
      <c r="Q89">
        <f>J89*L89</f>
        <v>0</v>
      </c>
    </row>
    <row r="90" spans="1:17" x14ac:dyDescent="0.25">
      <c r="A90" s="50" t="s">
        <v>34</v>
      </c>
      <c r="F90">
        <f>'MISC Plans Reports'!L136</f>
        <v>61</v>
      </c>
      <c r="G90">
        <f>'MISC Plans Reports'!L138</f>
        <v>0</v>
      </c>
      <c r="H90">
        <f>'MISC Plans Reports'!L140</f>
        <v>153</v>
      </c>
      <c r="I90">
        <f>'MISC Plans Reports'!L143</f>
        <v>74</v>
      </c>
      <c r="J90">
        <f>'MISC Plans Reports'!L145</f>
        <v>60</v>
      </c>
      <c r="K90">
        <f t="shared" si="6"/>
        <v>348</v>
      </c>
      <c r="L90">
        <f>'Form "A" Office'!J109</f>
        <v>0</v>
      </c>
      <c r="M90">
        <f t="shared" si="7"/>
        <v>0</v>
      </c>
      <c r="N90">
        <f t="shared" si="8"/>
        <v>0</v>
      </c>
      <c r="O90">
        <f t="shared" si="9"/>
        <v>0</v>
      </c>
      <c r="P90">
        <f t="shared" si="10"/>
        <v>0</v>
      </c>
      <c r="Q90">
        <f t="shared" si="11"/>
        <v>0</v>
      </c>
    </row>
    <row r="91" spans="1:17" x14ac:dyDescent="0.25">
      <c r="A91" s="10" t="s">
        <v>408</v>
      </c>
      <c r="F91">
        <f>'MISC Plans Reports'!L82</f>
        <v>122</v>
      </c>
      <c r="G91">
        <f>'MISC Plans Reports'!L85</f>
        <v>280</v>
      </c>
      <c r="H91">
        <f>'MISC Plans Reports'!L88</f>
        <v>816</v>
      </c>
      <c r="I91">
        <f>'MISC Plans Reports'!L91</f>
        <v>74</v>
      </c>
      <c r="J91">
        <f>'MISC Plans Reports'!L94</f>
        <v>120</v>
      </c>
      <c r="K91">
        <f t="shared" si="6"/>
        <v>1412</v>
      </c>
      <c r="L91">
        <f>'Form "A" Office'!J110</f>
        <v>0</v>
      </c>
      <c r="M91">
        <f t="shared" si="7"/>
        <v>0</v>
      </c>
      <c r="N91">
        <f t="shared" si="8"/>
        <v>0</v>
      </c>
      <c r="O91">
        <f t="shared" si="9"/>
        <v>0</v>
      </c>
      <c r="P91">
        <f t="shared" si="10"/>
        <v>0</v>
      </c>
      <c r="Q91">
        <f t="shared" si="11"/>
        <v>0</v>
      </c>
    </row>
    <row r="92" spans="1:17" x14ac:dyDescent="0.25">
      <c r="A92" s="51" t="s">
        <v>1255</v>
      </c>
      <c r="F92">
        <f>'MISC Plans Reports'!L100</f>
        <v>366</v>
      </c>
      <c r="G92">
        <f>'MISC Plans Reports'!L103</f>
        <v>140</v>
      </c>
      <c r="H92">
        <f>'MISC Plans Reports'!L106</f>
        <v>204</v>
      </c>
      <c r="I92">
        <f>'MISC Plans Reports'!L109</f>
        <v>74</v>
      </c>
      <c r="J92">
        <f>'MISC Plans Reports'!L112</f>
        <v>120</v>
      </c>
      <c r="K92">
        <f>SUM(F92:J92)</f>
        <v>904</v>
      </c>
      <c r="L92">
        <f>'Form "A" Office'!J111</f>
        <v>0</v>
      </c>
      <c r="M92">
        <f>F92*L92</f>
        <v>0</v>
      </c>
      <c r="N92">
        <f>G92*L92</f>
        <v>0</v>
      </c>
      <c r="O92">
        <f>H92*L92</f>
        <v>0</v>
      </c>
      <c r="P92">
        <f>I92*L92</f>
        <v>0</v>
      </c>
      <c r="Q92">
        <f>J92*L92</f>
        <v>0</v>
      </c>
    </row>
    <row r="93" spans="1:17" x14ac:dyDescent="0.25">
      <c r="A93" s="10" t="s">
        <v>409</v>
      </c>
      <c r="F93">
        <f>'MISC Plans Reports'!L100</f>
        <v>366</v>
      </c>
      <c r="G93">
        <f>'MISC Plans Reports'!L103</f>
        <v>140</v>
      </c>
      <c r="H93">
        <f>'MISC Plans Reports'!L106</f>
        <v>204</v>
      </c>
      <c r="I93">
        <f>'MISC Plans Reports'!L109</f>
        <v>74</v>
      </c>
      <c r="J93">
        <f>'MISC Plans Reports'!L112</f>
        <v>120</v>
      </c>
      <c r="K93">
        <f t="shared" si="6"/>
        <v>904</v>
      </c>
      <c r="L93">
        <f>'Form "A" Office'!J113</f>
        <v>0</v>
      </c>
      <c r="M93">
        <f t="shared" si="7"/>
        <v>0</v>
      </c>
      <c r="N93">
        <f t="shared" si="8"/>
        <v>0</v>
      </c>
      <c r="O93">
        <f t="shared" si="9"/>
        <v>0</v>
      </c>
      <c r="P93">
        <f t="shared" si="10"/>
        <v>0</v>
      </c>
      <c r="Q93">
        <f t="shared" si="11"/>
        <v>0</v>
      </c>
    </row>
    <row r="94" spans="1:17" s="1588" customFormat="1" x14ac:dyDescent="0.25">
      <c r="A94" s="1287" t="s">
        <v>1357</v>
      </c>
      <c r="F94" s="1588">
        <f>'MISC Plans Reports'!L265</f>
        <v>122</v>
      </c>
      <c r="G94" s="1588">
        <f>'MISC Plans Reports'!L268</f>
        <v>140</v>
      </c>
      <c r="H94" s="1588">
        <f>'MISC Plans Reports'!L271</f>
        <v>102</v>
      </c>
      <c r="I94" s="1588">
        <f>'MISC Plans Reports'!L274</f>
        <v>74</v>
      </c>
      <c r="J94" s="1588">
        <f>'MISC Plans Reports'!L277</f>
        <v>60</v>
      </c>
      <c r="K94" s="1588">
        <f t="shared" si="6"/>
        <v>498</v>
      </c>
      <c r="L94" s="1588">
        <f>'Form "A" Office'!J112</f>
        <v>0</v>
      </c>
      <c r="M94" s="1588">
        <f>F94*L94</f>
        <v>0</v>
      </c>
      <c r="N94" s="1588">
        <f>G94*L94</f>
        <v>0</v>
      </c>
      <c r="O94" s="1588">
        <f>H94*L94</f>
        <v>0</v>
      </c>
      <c r="P94" s="1588">
        <f>I94*L94</f>
        <v>0</v>
      </c>
      <c r="Q94" s="1588">
        <f>J94*L94</f>
        <v>0</v>
      </c>
    </row>
    <row r="95" spans="1:17" s="1588" customFormat="1" x14ac:dyDescent="0.25">
      <c r="A95" s="1287" t="s">
        <v>1357</v>
      </c>
      <c r="F95" s="1588">
        <f>'MISC Plans Reports'!L265</f>
        <v>122</v>
      </c>
      <c r="G95" s="1588">
        <f>'MISC Plans Reports'!L268</f>
        <v>140</v>
      </c>
      <c r="H95" s="1588">
        <f>'MISC Plans Reports'!L271</f>
        <v>102</v>
      </c>
      <c r="I95" s="1588">
        <f>'MISC Plans Reports'!L274</f>
        <v>74</v>
      </c>
      <c r="J95" s="1588">
        <f>'MISC Plans Reports'!L277</f>
        <v>60</v>
      </c>
      <c r="K95" s="1588">
        <f t="shared" si="6"/>
        <v>498</v>
      </c>
      <c r="L95" s="1588">
        <f>'Form "A" Office'!J114</f>
        <v>0</v>
      </c>
      <c r="M95" s="1588">
        <f>F95*L95</f>
        <v>0</v>
      </c>
      <c r="N95" s="1588">
        <f>G95*L95</f>
        <v>0</v>
      </c>
      <c r="O95" s="1588">
        <f>H95*L95</f>
        <v>0</v>
      </c>
      <c r="P95" s="1588">
        <f>I95*L95</f>
        <v>0</v>
      </c>
      <c r="Q95" s="1588">
        <f>J95*L95</f>
        <v>0</v>
      </c>
    </row>
    <row r="96" spans="1:17" x14ac:dyDescent="0.25">
      <c r="A96" s="10" t="s">
        <v>208</v>
      </c>
      <c r="F96">
        <f>'MISC Plans Reports'!L118</f>
        <v>122</v>
      </c>
      <c r="G96">
        <f>'MISC Plans Reports'!L121</f>
        <v>0</v>
      </c>
      <c r="H96">
        <f>'MISC Plans Reports'!L124</f>
        <v>102</v>
      </c>
      <c r="I96">
        <f>'MISC Plans Reports'!L127</f>
        <v>0</v>
      </c>
      <c r="J96">
        <f>'MISC Plans Reports'!L130</f>
        <v>30</v>
      </c>
      <c r="K96">
        <f t="shared" si="6"/>
        <v>254</v>
      </c>
      <c r="L96">
        <f>'Form "A" Office'!J115</f>
        <v>0</v>
      </c>
      <c r="M96">
        <f t="shared" si="7"/>
        <v>0</v>
      </c>
      <c r="N96">
        <f t="shared" si="8"/>
        <v>0</v>
      </c>
      <c r="O96">
        <f t="shared" si="9"/>
        <v>0</v>
      </c>
      <c r="P96">
        <f t="shared" si="10"/>
        <v>0</v>
      </c>
      <c r="Q96">
        <f t="shared" si="11"/>
        <v>0</v>
      </c>
    </row>
    <row r="97" spans="1:19" x14ac:dyDescent="0.25">
      <c r="A97" s="10" t="s">
        <v>490</v>
      </c>
      <c r="F97">
        <f>'MISC Plans Reports'!L151</f>
        <v>488</v>
      </c>
      <c r="G97">
        <f>'MISC Plans Reports'!L154</f>
        <v>0</v>
      </c>
      <c r="H97">
        <f>'MISC Plans Reports'!L157</f>
        <v>0</v>
      </c>
      <c r="I97">
        <f>'MISC Plans Reports'!L160</f>
        <v>0</v>
      </c>
      <c r="J97">
        <f>'MISC Plans Reports'!L163</f>
        <v>60</v>
      </c>
      <c r="K97">
        <f t="shared" si="6"/>
        <v>548</v>
      </c>
      <c r="L97">
        <f>'Form "A" Office'!J116</f>
        <v>0</v>
      </c>
      <c r="M97">
        <f>F97*L97</f>
        <v>0</v>
      </c>
      <c r="N97">
        <f>G97*L97</f>
        <v>0</v>
      </c>
      <c r="O97">
        <f>H97*L97</f>
        <v>0</v>
      </c>
      <c r="P97">
        <f>I97*L97</f>
        <v>0</v>
      </c>
      <c r="Q97">
        <f>J97*L97</f>
        <v>0</v>
      </c>
    </row>
    <row r="98" spans="1:19" x14ac:dyDescent="0.25">
      <c r="A98" s="10" t="s">
        <v>102</v>
      </c>
      <c r="F98">
        <f>'MW Abandon Plan Report Field'!L82</f>
        <v>244</v>
      </c>
      <c r="G98">
        <f>'MW Abandon Plan Report Field'!L85</f>
        <v>140</v>
      </c>
      <c r="H98">
        <f>'MW Abandon Plan Report Field'!L88</f>
        <v>204</v>
      </c>
      <c r="I98">
        <f>'MW Abandon Plan Report Field'!L91</f>
        <v>0</v>
      </c>
      <c r="J98">
        <f>'MW Abandon Plan Report Field'!L94</f>
        <v>60</v>
      </c>
      <c r="K98">
        <f t="shared" si="6"/>
        <v>648</v>
      </c>
      <c r="L98">
        <f>'Form "A" Office'!J117</f>
        <v>0</v>
      </c>
      <c r="M98">
        <f>F98*L98</f>
        <v>0</v>
      </c>
      <c r="N98">
        <f>G98*L98</f>
        <v>0</v>
      </c>
      <c r="O98">
        <f>H98*L98</f>
        <v>0</v>
      </c>
      <c r="P98">
        <f>I98*L98</f>
        <v>0</v>
      </c>
      <c r="Q98">
        <f t="shared" si="11"/>
        <v>0</v>
      </c>
    </row>
    <row r="99" spans="1:19" x14ac:dyDescent="0.25">
      <c r="A99" s="10" t="s">
        <v>1084</v>
      </c>
      <c r="F99">
        <f>'MISC Plans Reports'!L229</f>
        <v>122</v>
      </c>
      <c r="G99">
        <f>'MISC Plans Reports'!L232</f>
        <v>0</v>
      </c>
      <c r="H99">
        <f>'MISC Plans Reports'!L235</f>
        <v>0</v>
      </c>
      <c r="I99">
        <f>'MISC Plans Reports'!L238</f>
        <v>0</v>
      </c>
      <c r="J99">
        <f>'MISC Plans Reports'!L241</f>
        <v>0</v>
      </c>
      <c r="K99">
        <f>SUM(F99:J99)</f>
        <v>122</v>
      </c>
      <c r="L99">
        <f>'Form "A" Office'!J118</f>
        <v>0</v>
      </c>
      <c r="M99">
        <f>F99*L99</f>
        <v>0</v>
      </c>
      <c r="N99">
        <f>G99*L99</f>
        <v>0</v>
      </c>
      <c r="O99">
        <f>H99*L99</f>
        <v>0</v>
      </c>
      <c r="P99">
        <f>I99*L99</f>
        <v>0</v>
      </c>
      <c r="Q99">
        <f>J99*L99</f>
        <v>0</v>
      </c>
    </row>
    <row r="100" spans="1:19" x14ac:dyDescent="0.25">
      <c r="A100" s="10" t="s">
        <v>1085</v>
      </c>
      <c r="F100">
        <f>'MISC Plans Reports'!L247</f>
        <v>244</v>
      </c>
      <c r="G100">
        <f>'MISC Plans Reports'!L250</f>
        <v>140</v>
      </c>
      <c r="H100">
        <f>'MISC Plans Reports'!L253</f>
        <v>0</v>
      </c>
      <c r="I100">
        <f>'MISC Plans Reports'!L256</f>
        <v>0</v>
      </c>
      <c r="J100">
        <f>'MISC Plans Reports'!L259</f>
        <v>0</v>
      </c>
      <c r="K100">
        <f>SUM(F100:J100)</f>
        <v>384</v>
      </c>
      <c r="L100">
        <f>'Form "A" Office'!J119</f>
        <v>0</v>
      </c>
      <c r="M100">
        <f>F100*L100</f>
        <v>0</v>
      </c>
      <c r="N100">
        <f>G100*L100</f>
        <v>0</v>
      </c>
      <c r="O100">
        <f>H100*L100</f>
        <v>0</v>
      </c>
      <c r="P100">
        <f>I100*L100</f>
        <v>0</v>
      </c>
      <c r="Q100">
        <f>J100*L100</f>
        <v>0</v>
      </c>
    </row>
    <row r="101" spans="1:19" x14ac:dyDescent="0.25">
      <c r="F101" s="48">
        <f>SUM(F9:F100)</f>
        <v>47092</v>
      </c>
      <c r="G101" s="48">
        <f>SUM(G9:G100)</f>
        <v>32340</v>
      </c>
      <c r="H101" s="48">
        <f>SUM(H9:H100)</f>
        <v>50408.4</v>
      </c>
      <c r="I101" s="48">
        <f>SUM(I9:I100)</f>
        <v>15906.3</v>
      </c>
      <c r="J101" s="48">
        <f>SUM(J9:J100)</f>
        <v>13005</v>
      </c>
      <c r="K101">
        <f>SUM(F101:J101)</f>
        <v>158751.69999999998</v>
      </c>
      <c r="L101" s="48">
        <f>SUM(L9:L98)</f>
        <v>0</v>
      </c>
      <c r="M101" s="48">
        <f>SUM(M9:M100)</f>
        <v>0</v>
      </c>
      <c r="N101" s="48">
        <f>SUM(N9:N100)</f>
        <v>0</v>
      </c>
      <c r="O101" s="48">
        <f>SUM(O9:O100)+R58</f>
        <v>0</v>
      </c>
      <c r="P101" s="48">
        <f>SUM(P9:P100)</f>
        <v>0</v>
      </c>
      <c r="Q101" s="48">
        <f>SUM(Q9:Q100)</f>
        <v>0</v>
      </c>
      <c r="R101" s="48"/>
      <c r="S101">
        <f>SUM(M101:R101)</f>
        <v>0</v>
      </c>
    </row>
    <row r="103" spans="1:19" x14ac:dyDescent="0.25">
      <c r="K103">
        <f>SUM(K9:K100)</f>
        <v>158751.70000000001</v>
      </c>
    </row>
  </sheetData>
  <customSheetViews>
    <customSheetView guid="{BC429C65-53B8-4F97-88D2-74ECCD734800}" state="veryHidden">
      <pane ySplit="7" topLeftCell="A73" activePane="bottomLeft" state="frozen"/>
      <selection pane="bottomLeft" activeCell="B3" sqref="B3:J3"/>
      <pageMargins left="0.7" right="0.7" top="0.75" bottom="0.75" header="0.3" footer="0.3"/>
      <pageSetup orientation="portrait" horizontalDpi="4294967293" r:id="rId1"/>
    </customSheetView>
  </customSheetViews>
  <phoneticPr fontId="4" type="noConversion"/>
  <pageMargins left="0.7" right="0.7" top="0.75" bottom="0.75" header="0.3" footer="0.3"/>
  <pageSetup orientation="portrait" horizontalDpi="4294967293"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79998168889431442"/>
  </sheetPr>
  <dimension ref="A1:N47"/>
  <sheetViews>
    <sheetView showGridLines="0" showRowColHeaders="0" showRuler="0" view="pageLayout" zoomScaleNormal="90" workbookViewId="0">
      <selection activeCell="D5" sqref="D5"/>
    </sheetView>
  </sheetViews>
  <sheetFormatPr defaultColWidth="11.44140625" defaultRowHeight="13.2" x14ac:dyDescent="0.25"/>
  <cols>
    <col min="1" max="11" width="8.5546875" style="44" customWidth="1"/>
    <col min="12" max="12" width="8.5546875" style="827" customWidth="1"/>
    <col min="13" max="13" width="8.6640625" style="44" customWidth="1"/>
    <col min="14" max="14" width="11" style="44" customWidth="1"/>
    <col min="15" max="16384" width="11.44140625" style="44"/>
  </cols>
  <sheetData>
    <row r="1" spans="1:14" ht="18" customHeight="1" x14ac:dyDescent="0.4">
      <c r="A1" s="859" t="s">
        <v>1151</v>
      </c>
      <c r="B1" s="860"/>
      <c r="C1" s="860"/>
      <c r="D1" s="860"/>
      <c r="E1" s="860"/>
      <c r="F1" s="860"/>
      <c r="G1" s="860"/>
      <c r="H1" s="860"/>
      <c r="I1" s="860"/>
      <c r="J1" s="860"/>
      <c r="K1" s="860"/>
      <c r="L1" s="861"/>
      <c r="N1" s="1"/>
    </row>
    <row r="2" spans="1:14" ht="12.15" customHeight="1" thickBot="1" x14ac:dyDescent="0.3">
      <c r="A2" s="51"/>
      <c r="K2" s="827"/>
      <c r="L2" s="862"/>
    </row>
    <row r="3" spans="1:14" ht="12.15" customHeight="1" thickBot="1" x14ac:dyDescent="0.3">
      <c r="A3" s="12" t="s">
        <v>453</v>
      </c>
      <c r="C3" s="44" t="s">
        <v>441</v>
      </c>
      <c r="J3" s="8">
        <f>'Maximum Rates'!D5</f>
        <v>122</v>
      </c>
      <c r="K3" s="863">
        <v>7</v>
      </c>
      <c r="L3" s="864">
        <f>(J3*K3)</f>
        <v>854</v>
      </c>
    </row>
    <row r="4" spans="1:14" ht="12.15" customHeight="1" x14ac:dyDescent="0.3">
      <c r="A4" s="549"/>
      <c r="C4" s="44" t="s">
        <v>376</v>
      </c>
      <c r="J4" s="8"/>
      <c r="K4" s="865"/>
      <c r="L4" s="864"/>
    </row>
    <row r="5" spans="1:14" ht="12.15" customHeight="1" x14ac:dyDescent="0.25">
      <c r="A5" s="51"/>
      <c r="C5" s="44" t="s">
        <v>309</v>
      </c>
      <c r="J5" s="8"/>
      <c r="K5" s="827"/>
      <c r="L5" s="864"/>
    </row>
    <row r="6" spans="1:14" ht="12.15" customHeight="1" x14ac:dyDescent="0.25">
      <c r="A6" s="51"/>
      <c r="C6" s="44" t="s">
        <v>321</v>
      </c>
      <c r="J6" s="8"/>
      <c r="K6" s="827"/>
      <c r="L6" s="864"/>
    </row>
    <row r="7" spans="1:14" ht="12.15" customHeight="1" thickBot="1" x14ac:dyDescent="0.3">
      <c r="A7" s="51"/>
      <c r="C7" s="44" t="s">
        <v>21</v>
      </c>
      <c r="J7" s="8"/>
      <c r="K7" s="827"/>
      <c r="L7" s="864"/>
    </row>
    <row r="8" spans="1:14" ht="12.15" customHeight="1" thickBot="1" x14ac:dyDescent="0.3">
      <c r="A8" s="12" t="s">
        <v>454</v>
      </c>
      <c r="C8" s="44" t="s">
        <v>375</v>
      </c>
      <c r="J8" s="8">
        <f>'Maximum Rates'!D6</f>
        <v>140</v>
      </c>
      <c r="K8" s="863">
        <v>3</v>
      </c>
      <c r="L8" s="864">
        <f>(J8*K8)</f>
        <v>420</v>
      </c>
    </row>
    <row r="9" spans="1:14" ht="12.15" customHeight="1" x14ac:dyDescent="0.25">
      <c r="A9" s="51"/>
      <c r="C9" s="44" t="s">
        <v>446</v>
      </c>
      <c r="J9" s="8"/>
      <c r="K9" s="827"/>
      <c r="L9" s="864"/>
    </row>
    <row r="10" spans="1:14" ht="12.15" customHeight="1" thickBot="1" x14ac:dyDescent="0.3">
      <c r="A10" s="51"/>
      <c r="C10" s="44" t="s">
        <v>21</v>
      </c>
      <c r="J10" s="8"/>
      <c r="K10" s="827"/>
      <c r="L10" s="864"/>
    </row>
    <row r="11" spans="1:14" ht="12.15" customHeight="1" thickBot="1" x14ac:dyDescent="0.3">
      <c r="A11" s="12" t="s">
        <v>27</v>
      </c>
      <c r="C11" s="44" t="s">
        <v>447</v>
      </c>
      <c r="J11" s="8">
        <f>'Maximum Rates'!D7</f>
        <v>102</v>
      </c>
      <c r="K11" s="863">
        <v>7</v>
      </c>
      <c r="L11" s="864">
        <f>(J11*K11)</f>
        <v>714</v>
      </c>
    </row>
    <row r="12" spans="1:14" ht="12.15" customHeight="1" x14ac:dyDescent="0.25">
      <c r="A12" s="12" t="s">
        <v>796</v>
      </c>
      <c r="C12" s="44" t="s">
        <v>22</v>
      </c>
      <c r="J12" s="8"/>
      <c r="K12" s="827"/>
      <c r="L12" s="864"/>
    </row>
    <row r="13" spans="1:14" ht="12.15" customHeight="1" thickBot="1" x14ac:dyDescent="0.3">
      <c r="A13" s="51"/>
      <c r="J13" s="8"/>
      <c r="K13" s="827"/>
      <c r="L13" s="864"/>
    </row>
    <row r="14" spans="1:14" ht="12.15" customHeight="1" thickBot="1" x14ac:dyDescent="0.3">
      <c r="A14" s="12" t="s">
        <v>456</v>
      </c>
      <c r="C14" s="44" t="s">
        <v>322</v>
      </c>
      <c r="J14" s="8">
        <f>'Maximum Rates'!D10</f>
        <v>74</v>
      </c>
      <c r="K14" s="863">
        <v>3</v>
      </c>
      <c r="L14" s="864">
        <f>(J14*K14)</f>
        <v>222</v>
      </c>
    </row>
    <row r="15" spans="1:14" ht="12.15" customHeight="1" x14ac:dyDescent="0.25">
      <c r="A15" s="51"/>
      <c r="C15" s="44" t="s">
        <v>397</v>
      </c>
      <c r="J15" s="8"/>
      <c r="K15" s="827"/>
      <c r="L15" s="864"/>
    </row>
    <row r="16" spans="1:14" ht="12.15" customHeight="1" thickBot="1" x14ac:dyDescent="0.3">
      <c r="A16" s="51"/>
      <c r="C16" s="44" t="s">
        <v>21</v>
      </c>
      <c r="J16" s="8"/>
      <c r="K16" s="827"/>
      <c r="L16" s="864"/>
    </row>
    <row r="17" spans="1:12" ht="12.15" customHeight="1" thickBot="1" x14ac:dyDescent="0.3">
      <c r="A17" s="12" t="s">
        <v>457</v>
      </c>
      <c r="C17" s="44" t="s">
        <v>448</v>
      </c>
      <c r="J17" s="8">
        <f>'Maximum Rates'!D11</f>
        <v>60</v>
      </c>
      <c r="K17" s="863">
        <v>2</v>
      </c>
      <c r="L17" s="864">
        <f>(J17*K17)</f>
        <v>120</v>
      </c>
    </row>
    <row r="18" spans="1:12" ht="12.15" customHeight="1" thickBot="1" x14ac:dyDescent="0.3">
      <c r="A18" s="51"/>
      <c r="C18" s="44" t="s">
        <v>22</v>
      </c>
      <c r="K18" s="827"/>
      <c r="L18" s="864"/>
    </row>
    <row r="19" spans="1:12" ht="12.15" customHeight="1" thickBot="1" x14ac:dyDescent="0.3">
      <c r="A19" s="52"/>
      <c r="B19" s="663"/>
      <c r="C19" s="663"/>
      <c r="D19" s="663"/>
      <c r="E19" s="663"/>
      <c r="F19" s="663"/>
      <c r="G19" s="663"/>
      <c r="H19" s="866" t="s">
        <v>371</v>
      </c>
      <c r="I19" s="867"/>
      <c r="J19" s="867"/>
      <c r="K19" s="868"/>
      <c r="L19" s="552">
        <f>SUM(L3:L17)</f>
        <v>2330</v>
      </c>
    </row>
    <row r="20" spans="1:12" ht="12.15" customHeight="1" thickBot="1" x14ac:dyDescent="0.3">
      <c r="K20" s="827"/>
      <c r="L20" s="8"/>
    </row>
    <row r="21" spans="1:12" ht="18" customHeight="1" x14ac:dyDescent="0.25">
      <c r="A21" s="859" t="s">
        <v>1174</v>
      </c>
      <c r="B21" s="860"/>
      <c r="C21" s="860"/>
      <c r="D21" s="860"/>
      <c r="E21" s="860"/>
      <c r="F21" s="860"/>
      <c r="G21" s="860"/>
      <c r="H21" s="860"/>
      <c r="I21" s="860"/>
      <c r="J21" s="860"/>
      <c r="K21" s="860"/>
      <c r="L21" s="861"/>
    </row>
    <row r="22" spans="1:12" ht="12.15" customHeight="1" thickBot="1" x14ac:dyDescent="0.3">
      <c r="A22" s="51"/>
      <c r="K22" s="827"/>
      <c r="L22" s="862"/>
    </row>
    <row r="23" spans="1:12" ht="12.15" customHeight="1" thickBot="1" x14ac:dyDescent="0.3">
      <c r="A23" s="12" t="s">
        <v>453</v>
      </c>
      <c r="C23" s="44" t="s">
        <v>441</v>
      </c>
      <c r="J23" s="8">
        <f>'Maximum Rates'!D5</f>
        <v>122</v>
      </c>
      <c r="K23" s="863">
        <v>1</v>
      </c>
      <c r="L23" s="864">
        <f>(J23*K23)</f>
        <v>122</v>
      </c>
    </row>
    <row r="24" spans="1:12" ht="12.15" customHeight="1" x14ac:dyDescent="0.3">
      <c r="A24" s="549"/>
      <c r="C24" s="44" t="s">
        <v>376</v>
      </c>
      <c r="J24" s="8"/>
      <c r="K24" s="827"/>
      <c r="L24" s="864"/>
    </row>
    <row r="25" spans="1:12" ht="12.15" customHeight="1" x14ac:dyDescent="0.25">
      <c r="A25" s="51"/>
      <c r="C25" s="44" t="s">
        <v>309</v>
      </c>
      <c r="J25" s="8"/>
      <c r="K25" s="827"/>
      <c r="L25" s="864"/>
    </row>
    <row r="26" spans="1:12" ht="12.15" customHeight="1" x14ac:dyDescent="0.25">
      <c r="A26" s="51"/>
      <c r="C26" s="44" t="s">
        <v>321</v>
      </c>
      <c r="J26" s="8"/>
      <c r="K26" s="827"/>
      <c r="L26" s="864"/>
    </row>
    <row r="27" spans="1:12" ht="12.15" customHeight="1" thickBot="1" x14ac:dyDescent="0.3">
      <c r="A27" s="51"/>
      <c r="C27" s="44" t="s">
        <v>21</v>
      </c>
      <c r="J27" s="8"/>
      <c r="K27" s="827"/>
      <c r="L27" s="864"/>
    </row>
    <row r="28" spans="1:12" ht="12.15" customHeight="1" thickBot="1" x14ac:dyDescent="0.3">
      <c r="A28" s="12" t="s">
        <v>454</v>
      </c>
      <c r="C28" s="44" t="s">
        <v>375</v>
      </c>
      <c r="J28" s="8">
        <f>'Maximum Rates'!D6</f>
        <v>140</v>
      </c>
      <c r="K28" s="863">
        <v>1</v>
      </c>
      <c r="L28" s="864">
        <f>(J28*K28)</f>
        <v>140</v>
      </c>
    </row>
    <row r="29" spans="1:12" ht="12.15" customHeight="1" x14ac:dyDescent="0.25">
      <c r="A29" s="51"/>
      <c r="C29" s="44" t="s">
        <v>446</v>
      </c>
      <c r="J29" s="8"/>
      <c r="K29" s="827"/>
      <c r="L29" s="864"/>
    </row>
    <row r="30" spans="1:12" ht="12.15" customHeight="1" thickBot="1" x14ac:dyDescent="0.3">
      <c r="A30" s="51"/>
      <c r="C30" s="44" t="s">
        <v>21</v>
      </c>
      <c r="J30" s="8"/>
      <c r="K30" s="827"/>
      <c r="L30" s="864"/>
    </row>
    <row r="31" spans="1:12" ht="12.15" customHeight="1" thickBot="1" x14ac:dyDescent="0.3">
      <c r="A31" s="12" t="s">
        <v>27</v>
      </c>
      <c r="C31" s="44" t="s">
        <v>447</v>
      </c>
      <c r="J31" s="8">
        <f>'Maximum Rates'!D7</f>
        <v>102</v>
      </c>
      <c r="K31" s="863">
        <v>1</v>
      </c>
      <c r="L31" s="864">
        <f>(J31*K31)</f>
        <v>102</v>
      </c>
    </row>
    <row r="32" spans="1:12" ht="12.15" customHeight="1" x14ac:dyDescent="0.25">
      <c r="A32" s="12" t="s">
        <v>796</v>
      </c>
      <c r="C32" s="44" t="s">
        <v>22</v>
      </c>
      <c r="J32" s="8"/>
      <c r="K32" s="827"/>
      <c r="L32" s="864"/>
    </row>
    <row r="33" spans="1:14" ht="12.15" customHeight="1" thickBot="1" x14ac:dyDescent="0.3">
      <c r="A33" s="51"/>
      <c r="J33" s="8"/>
      <c r="K33" s="827"/>
      <c r="L33" s="864"/>
    </row>
    <row r="34" spans="1:14" ht="12.15" customHeight="1" thickBot="1" x14ac:dyDescent="0.3">
      <c r="A34" s="12" t="s">
        <v>456</v>
      </c>
      <c r="C34" s="44" t="s">
        <v>322</v>
      </c>
      <c r="J34" s="8">
        <f>'Maximum Rates'!D10</f>
        <v>74</v>
      </c>
      <c r="K34" s="863">
        <v>1</v>
      </c>
      <c r="L34" s="864">
        <f>(J34*K34)</f>
        <v>74</v>
      </c>
    </row>
    <row r="35" spans="1:14" ht="12.15" customHeight="1" x14ac:dyDescent="0.25">
      <c r="A35" s="51"/>
      <c r="C35" s="44" t="s">
        <v>397</v>
      </c>
      <c r="J35" s="8"/>
      <c r="K35" s="827"/>
      <c r="L35" s="864"/>
    </row>
    <row r="36" spans="1:14" ht="12.15" customHeight="1" thickBot="1" x14ac:dyDescent="0.3">
      <c r="A36" s="51"/>
      <c r="C36" s="44" t="s">
        <v>21</v>
      </c>
      <c r="J36" s="8"/>
      <c r="K36" s="827"/>
      <c r="L36" s="864"/>
    </row>
    <row r="37" spans="1:14" ht="12.15" customHeight="1" thickBot="1" x14ac:dyDescent="0.3">
      <c r="A37" s="12" t="s">
        <v>457</v>
      </c>
      <c r="C37" s="44" t="s">
        <v>448</v>
      </c>
      <c r="J37" s="8">
        <f>'Maximum Rates'!D11</f>
        <v>60</v>
      </c>
      <c r="K37" s="863">
        <v>2</v>
      </c>
      <c r="L37" s="864">
        <f>(J37*K37)</f>
        <v>120</v>
      </c>
    </row>
    <row r="38" spans="1:14" ht="12.15" customHeight="1" thickBot="1" x14ac:dyDescent="0.3">
      <c r="A38" s="51"/>
      <c r="C38" s="44" t="s">
        <v>22</v>
      </c>
      <c r="K38" s="827"/>
      <c r="L38" s="864"/>
    </row>
    <row r="39" spans="1:14" ht="12.15" customHeight="1" thickBot="1" x14ac:dyDescent="0.3">
      <c r="A39" s="52"/>
      <c r="B39" s="663"/>
      <c r="C39" s="663"/>
      <c r="D39" s="663"/>
      <c r="E39" s="663"/>
      <c r="F39" s="663"/>
      <c r="G39" s="663"/>
      <c r="H39" s="866" t="s">
        <v>371</v>
      </c>
      <c r="I39" s="867"/>
      <c r="J39" s="867"/>
      <c r="K39" s="868"/>
      <c r="L39" s="552">
        <f>SUM(L23:L37)</f>
        <v>558</v>
      </c>
    </row>
    <row r="40" spans="1:14" ht="12.15" customHeight="1" thickBot="1" x14ac:dyDescent="0.3">
      <c r="F40" s="663"/>
      <c r="K40" s="827"/>
      <c r="L40" s="8"/>
    </row>
    <row r="41" spans="1:14" ht="12.15" customHeight="1" thickBot="1" x14ac:dyDescent="0.3">
      <c r="A41" s="20" t="s">
        <v>45</v>
      </c>
      <c r="B41" s="21"/>
      <c r="C41" s="21"/>
      <c r="D41" s="835"/>
      <c r="E41" s="835"/>
      <c r="F41" s="835"/>
      <c r="G41" s="835"/>
      <c r="H41" s="866" t="s">
        <v>46</v>
      </c>
      <c r="I41" s="867"/>
      <c r="J41" s="867"/>
      <c r="K41" s="868"/>
      <c r="L41" s="869">
        <f>SUM(D42:D45)</f>
        <v>395</v>
      </c>
    </row>
    <row r="42" spans="1:14" ht="12.15" customHeight="1" thickBot="1" x14ac:dyDescent="0.3">
      <c r="A42" s="51" t="s">
        <v>372</v>
      </c>
      <c r="C42" s="863">
        <v>0.5</v>
      </c>
      <c r="D42" s="26">
        <f>(C42)*('Maximum Rates'!D6)</f>
        <v>70</v>
      </c>
      <c r="H42" s="2337" t="s">
        <v>47</v>
      </c>
      <c r="I42" s="2337"/>
      <c r="J42" s="2337"/>
      <c r="K42" s="2337"/>
      <c r="L42" s="2338"/>
    </row>
    <row r="43" spans="1:14" ht="12.15" customHeight="1" thickBot="1" x14ac:dyDescent="0.3">
      <c r="A43" s="51" t="s">
        <v>1111</v>
      </c>
      <c r="C43" s="863">
        <v>0.5</v>
      </c>
      <c r="D43" s="26">
        <f>(C43)*('Maximum Rates'!D7)</f>
        <v>51</v>
      </c>
      <c r="H43" s="2339"/>
      <c r="I43" s="2339"/>
      <c r="J43" s="2339"/>
      <c r="K43" s="2339"/>
      <c r="L43" s="2340"/>
    </row>
    <row r="44" spans="1:14" ht="12.15" customHeight="1" thickBot="1" x14ac:dyDescent="0.3">
      <c r="A44" s="51" t="s">
        <v>3</v>
      </c>
      <c r="C44" s="863">
        <v>2</v>
      </c>
      <c r="D44" s="26">
        <f>(C44)*('Maximum Rates'!D5)</f>
        <v>244</v>
      </c>
      <c r="H44" s="2339"/>
      <c r="I44" s="2339"/>
      <c r="J44" s="2339"/>
      <c r="K44" s="2339"/>
      <c r="L44" s="2340"/>
    </row>
    <row r="45" spans="1:14" ht="12.15" customHeight="1" thickBot="1" x14ac:dyDescent="0.3">
      <c r="A45" s="52" t="s">
        <v>374</v>
      </c>
      <c r="B45" s="663"/>
      <c r="C45" s="863">
        <v>0.5</v>
      </c>
      <c r="D45" s="65">
        <f>(C45)*('Maximum Rates'!D11)</f>
        <v>30</v>
      </c>
      <c r="E45" s="663"/>
      <c r="F45" s="663"/>
      <c r="G45" s="663"/>
      <c r="H45" s="2341"/>
      <c r="I45" s="2341"/>
      <c r="J45" s="2341"/>
      <c r="K45" s="2341"/>
      <c r="L45" s="2342"/>
    </row>
    <row r="46" spans="1:14" ht="12.15" customHeight="1" x14ac:dyDescent="0.25"/>
    <row r="47" spans="1:14" x14ac:dyDescent="0.25">
      <c r="N47" s="550"/>
    </row>
  </sheetData>
  <sheetProtection password="DC01" sheet="1" objects="1" scenarios="1" selectLockedCells="1"/>
  <customSheetViews>
    <customSheetView guid="{BC429C65-53B8-4F97-88D2-74ECCD734800}" scale="90" showGridLines="0" showRowCol="0" hiddenRows="1" hiddenColumns="1" state="hidden" topLeftCell="B1">
      <selection activeCell="D4" sqref="D4:L4"/>
      <pageMargins left="0.25" right="0.25" top="1" bottom="0.25" header="0.65" footer="0.5"/>
      <printOptions horizontalCentered="1"/>
      <pageSetup orientation="portrait" r:id="rId1"/>
      <headerFooter alignWithMargins="0"/>
    </customSheetView>
  </customSheetViews>
  <mergeCells count="1">
    <mergeCell ref="H42:L45"/>
  </mergeCells>
  <phoneticPr fontId="4" type="noConversion"/>
  <printOptions horizontalCentered="1"/>
  <pageMargins left="0.25" right="0.25" top="0.75" bottom="0.25" header="0.17" footer="0.5"/>
  <pageSetup orientation="portrait" r:id="rId2"/>
  <headerFooter alignWithMargins="0">
    <oddHeader>&amp;C&amp;18Units for Abatement</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79998168889431442"/>
  </sheetPr>
  <dimension ref="A1:S143"/>
  <sheetViews>
    <sheetView showGridLines="0" showRowColHeaders="0" showRuler="0" view="pageLayout" topLeftCell="A85" zoomScaleNormal="100" zoomScaleSheetLayoutView="100" workbookViewId="0">
      <selection activeCell="D5" sqref="D5"/>
    </sheetView>
  </sheetViews>
  <sheetFormatPr defaultColWidth="10.88671875" defaultRowHeight="13.2" x14ac:dyDescent="0.25"/>
  <cols>
    <col min="1" max="1" width="18.33203125" style="2" customWidth="1"/>
    <col min="2" max="2" width="6.109375" style="2" customWidth="1"/>
    <col min="3" max="3" width="12.44140625" style="2" customWidth="1"/>
    <col min="4" max="4" width="9.88671875" style="2" customWidth="1"/>
    <col min="5" max="5" width="13.6640625" style="2" customWidth="1"/>
    <col min="6" max="6" width="6.109375" style="2" customWidth="1"/>
    <col min="7" max="7" width="12.44140625" style="2" customWidth="1"/>
    <col min="8" max="8" width="6.109375" style="2" customWidth="1"/>
    <col min="9" max="9" width="9.6640625" style="2" customWidth="1"/>
    <col min="10" max="13" width="11.44140625" style="2" customWidth="1"/>
    <col min="14" max="14" width="11.109375" style="2" customWidth="1"/>
    <col min="15" max="15" width="11.44140625" style="2" customWidth="1"/>
    <col min="16" max="16" width="10.33203125" style="2" customWidth="1"/>
    <col min="17" max="16384" width="10.88671875" style="2"/>
  </cols>
  <sheetData>
    <row r="1" spans="1:9" ht="16.2" thickBot="1" x14ac:dyDescent="0.35">
      <c r="A1" s="2349" t="s">
        <v>439</v>
      </c>
      <c r="B1" s="2350"/>
      <c r="C1" s="2350"/>
      <c r="D1" s="2350"/>
      <c r="E1" s="2350"/>
      <c r="F1" s="2350"/>
      <c r="G1" s="2350"/>
      <c r="H1" s="2350"/>
      <c r="I1" s="2351"/>
    </row>
    <row r="2" spans="1:9" ht="13.8" thickBot="1" x14ac:dyDescent="0.3">
      <c r="A2" s="2011" t="s">
        <v>138</v>
      </c>
      <c r="B2" s="2012"/>
      <c r="C2" s="2012"/>
      <c r="D2" s="2012"/>
      <c r="E2" s="2012"/>
      <c r="F2" s="2012"/>
      <c r="G2" s="2012"/>
      <c r="H2" s="2012"/>
      <c r="I2" s="2013"/>
    </row>
    <row r="3" spans="1:9" ht="13.8" thickBot="1" x14ac:dyDescent="0.3">
      <c r="A3" s="134"/>
      <c r="B3" s="78" t="s">
        <v>715</v>
      </c>
      <c r="C3" s="79" t="s">
        <v>716</v>
      </c>
      <c r="D3" s="633"/>
      <c r="E3" s="77"/>
      <c r="F3" s="78" t="s">
        <v>715</v>
      </c>
      <c r="G3" s="79" t="s">
        <v>716</v>
      </c>
      <c r="H3" s="76"/>
      <c r="I3" s="77" t="s">
        <v>717</v>
      </c>
    </row>
    <row r="4" spans="1:9" ht="13.5" customHeight="1" thickBot="1" x14ac:dyDescent="0.3">
      <c r="A4" s="2362" t="s">
        <v>709</v>
      </c>
      <c r="B4" s="2363"/>
      <c r="C4" s="2363"/>
      <c r="D4" s="2363"/>
      <c r="E4" s="2363"/>
      <c r="F4" s="2363"/>
      <c r="G4" s="2363"/>
      <c r="H4" s="2363"/>
      <c r="I4" s="2343">
        <f>SUM(C5+G5)</f>
        <v>241</v>
      </c>
    </row>
    <row r="5" spans="1:9" ht="13.5" customHeight="1" thickBot="1" x14ac:dyDescent="0.3">
      <c r="A5" s="579" t="s">
        <v>608</v>
      </c>
      <c r="B5" s="613">
        <v>2</v>
      </c>
      <c r="C5" s="442">
        <f>(B5)*('Maximum Rates'!$D$7)</f>
        <v>204</v>
      </c>
      <c r="D5" s="637"/>
      <c r="E5" s="649" t="s">
        <v>398</v>
      </c>
      <c r="F5" s="613">
        <v>0.5</v>
      </c>
      <c r="G5" s="442">
        <f>(F5)*('Maximum Rates'!$D$9)</f>
        <v>37</v>
      </c>
      <c r="H5" s="443"/>
      <c r="I5" s="2344"/>
    </row>
    <row r="6" spans="1:9" ht="13.5" customHeight="1" thickBot="1" x14ac:dyDescent="0.3">
      <c r="A6" s="2364" t="s">
        <v>710</v>
      </c>
      <c r="B6" s="2365"/>
      <c r="C6" s="2365"/>
      <c r="D6" s="2365"/>
      <c r="E6" s="2365"/>
      <c r="F6" s="2365"/>
      <c r="G6" s="2365"/>
      <c r="H6" s="2365"/>
      <c r="I6" s="2360">
        <f>SUM(C7+G7)</f>
        <v>380</v>
      </c>
    </row>
    <row r="7" spans="1:9" ht="13.8" thickBot="1" x14ac:dyDescent="0.3">
      <c r="A7" s="580" t="s">
        <v>608</v>
      </c>
      <c r="B7" s="613">
        <v>3</v>
      </c>
      <c r="C7" s="444">
        <f>(B7)*('Maximum Rates'!$D$7)</f>
        <v>306</v>
      </c>
      <c r="D7" s="650"/>
      <c r="E7" s="91" t="s">
        <v>398</v>
      </c>
      <c r="F7" s="613">
        <v>1</v>
      </c>
      <c r="G7" s="444">
        <f>(F7)*('Maximum Rates'!$D$9)</f>
        <v>74</v>
      </c>
      <c r="H7" s="99"/>
      <c r="I7" s="2361"/>
    </row>
    <row r="8" spans="1:9" ht="13.8" thickBot="1" x14ac:dyDescent="0.3">
      <c r="A8" s="2366" t="s">
        <v>711</v>
      </c>
      <c r="B8" s="2367"/>
      <c r="C8" s="2367"/>
      <c r="D8" s="2367"/>
      <c r="E8" s="2367"/>
      <c r="F8" s="2367"/>
      <c r="G8" s="2367"/>
      <c r="H8" s="2367"/>
      <c r="I8" s="2358">
        <f>SUM(C9+G9)</f>
        <v>825</v>
      </c>
    </row>
    <row r="9" spans="1:9" ht="13.8" thickBot="1" x14ac:dyDescent="0.3">
      <c r="A9" s="581" t="s">
        <v>608</v>
      </c>
      <c r="B9" s="613">
        <v>7</v>
      </c>
      <c r="C9" s="445">
        <f>(B9)*('Maximum Rates'!$D$7)</f>
        <v>714</v>
      </c>
      <c r="D9" s="647"/>
      <c r="E9" s="94" t="s">
        <v>398</v>
      </c>
      <c r="F9" s="613">
        <v>1.5</v>
      </c>
      <c r="G9" s="445">
        <f>(F9)*('Maximum Rates'!$D$9)</f>
        <v>111</v>
      </c>
      <c r="H9" s="98"/>
      <c r="I9" s="2359"/>
    </row>
    <row r="10" spans="1:9" ht="13.8" thickBot="1" x14ac:dyDescent="0.3">
      <c r="A10" s="2368" t="s">
        <v>712</v>
      </c>
      <c r="B10" s="2369"/>
      <c r="C10" s="2369"/>
      <c r="D10" s="2369"/>
      <c r="E10" s="2369"/>
      <c r="F10" s="2369"/>
      <c r="G10" s="2369"/>
      <c r="H10" s="2369"/>
      <c r="I10" s="2356">
        <f>SUM(C11+G11)</f>
        <v>1066</v>
      </c>
    </row>
    <row r="11" spans="1:9" ht="13.8" thickBot="1" x14ac:dyDescent="0.3">
      <c r="A11" s="582" t="s">
        <v>608</v>
      </c>
      <c r="B11" s="613">
        <v>9</v>
      </c>
      <c r="C11" s="446">
        <f>(B11)*('Maximum Rates'!$D$7)</f>
        <v>918</v>
      </c>
      <c r="D11" s="651"/>
      <c r="E11" s="92" t="s">
        <v>398</v>
      </c>
      <c r="F11" s="613">
        <v>2</v>
      </c>
      <c r="G11" s="446">
        <f>(F11)*('Maximum Rates'!$D$9)</f>
        <v>148</v>
      </c>
      <c r="H11" s="100"/>
      <c r="I11" s="2357"/>
    </row>
    <row r="12" spans="1:9" ht="13.8" thickBot="1" x14ac:dyDescent="0.3">
      <c r="A12" s="2370" t="s">
        <v>713</v>
      </c>
      <c r="B12" s="2371"/>
      <c r="C12" s="2371"/>
      <c r="D12" s="2371"/>
      <c r="E12" s="2371"/>
      <c r="F12" s="2371"/>
      <c r="G12" s="2371"/>
      <c r="H12" s="2371"/>
      <c r="I12" s="2354">
        <f>SUM(C13+G13)</f>
        <v>1307</v>
      </c>
    </row>
    <row r="13" spans="1:9" ht="13.8" thickBot="1" x14ac:dyDescent="0.3">
      <c r="A13" s="583" t="s">
        <v>608</v>
      </c>
      <c r="B13" s="613">
        <v>11</v>
      </c>
      <c r="C13" s="447">
        <f>(B13)*('Maximum Rates'!$D$7)</f>
        <v>1122</v>
      </c>
      <c r="D13" s="634"/>
      <c r="E13" s="96" t="s">
        <v>398</v>
      </c>
      <c r="F13" s="613">
        <v>2.5</v>
      </c>
      <c r="G13" s="448">
        <f>(F13)*('Maximum Rates'!$D$9)</f>
        <v>185</v>
      </c>
      <c r="H13" s="449"/>
      <c r="I13" s="2355"/>
    </row>
    <row r="14" spans="1:9" ht="13.8" thickBot="1" x14ac:dyDescent="0.3">
      <c r="A14" s="2372" t="s">
        <v>714</v>
      </c>
      <c r="B14" s="2373"/>
      <c r="C14" s="2373"/>
      <c r="D14" s="2373"/>
      <c r="E14" s="2373"/>
      <c r="F14" s="2373"/>
      <c r="G14" s="2373"/>
      <c r="H14" s="2373"/>
      <c r="I14" s="2352">
        <f>SUM(C15+G15)</f>
        <v>1548</v>
      </c>
    </row>
    <row r="15" spans="1:9" ht="13.8" thickBot="1" x14ac:dyDescent="0.3">
      <c r="A15" s="584" t="s">
        <v>608</v>
      </c>
      <c r="B15" s="613">
        <v>13</v>
      </c>
      <c r="C15" s="450">
        <f>(B15)*('Maximum Rates'!$D$7)</f>
        <v>1326</v>
      </c>
      <c r="D15" s="653"/>
      <c r="E15" s="652" t="s">
        <v>398</v>
      </c>
      <c r="F15" s="613">
        <v>3</v>
      </c>
      <c r="G15" s="450">
        <f>(F15)*('Maximum Rates'!$D$9)</f>
        <v>222</v>
      </c>
      <c r="H15" s="451"/>
      <c r="I15" s="2353"/>
    </row>
    <row r="16" spans="1:9" customFormat="1" ht="13.8" thickBot="1" x14ac:dyDescent="0.3"/>
    <row r="17" spans="1:9" ht="13.8" thickBot="1" x14ac:dyDescent="0.3">
      <c r="A17" s="2011" t="s">
        <v>380</v>
      </c>
      <c r="B17" s="2012"/>
      <c r="C17" s="2012"/>
      <c r="D17" s="2012"/>
      <c r="E17" s="2012"/>
      <c r="F17" s="2012"/>
      <c r="G17" s="2012"/>
      <c r="H17" s="2012"/>
      <c r="I17" s="2013"/>
    </row>
    <row r="18" spans="1:9" ht="13.8" thickBot="1" x14ac:dyDescent="0.3">
      <c r="A18" s="2362" t="s">
        <v>872</v>
      </c>
      <c r="B18" s="2363"/>
      <c r="C18" s="2363"/>
      <c r="D18" s="2363"/>
      <c r="E18" s="2363"/>
      <c r="F18" s="2363"/>
      <c r="G18" s="2363"/>
      <c r="H18" s="2363"/>
      <c r="I18" s="2343">
        <f>SUM(C19+G19)</f>
        <v>380</v>
      </c>
    </row>
    <row r="19" spans="1:9" ht="13.8" thickBot="1" x14ac:dyDescent="0.3">
      <c r="A19" s="81" t="s">
        <v>608</v>
      </c>
      <c r="B19" s="613">
        <v>3</v>
      </c>
      <c r="C19" s="442">
        <f>(B19)*('Maximum Rates'!$D$7)</f>
        <v>306</v>
      </c>
      <c r="D19" s="654"/>
      <c r="E19" s="649" t="s">
        <v>398</v>
      </c>
      <c r="F19" s="613">
        <v>1</v>
      </c>
      <c r="G19" s="452">
        <f>(F19)*('Maximum Rates'!$D$9)</f>
        <v>74</v>
      </c>
      <c r="H19" s="443"/>
      <c r="I19" s="2344"/>
    </row>
    <row r="20" spans="1:9" ht="13.8" thickBot="1" x14ac:dyDescent="0.3">
      <c r="A20" s="2374" t="s">
        <v>246</v>
      </c>
      <c r="B20" s="2375"/>
      <c r="C20" s="2375"/>
      <c r="D20" s="2375"/>
      <c r="E20" s="2375"/>
      <c r="F20" s="2375"/>
      <c r="G20" s="2375"/>
      <c r="H20" s="2375"/>
      <c r="I20" s="2360">
        <f>SUM(C21+G21)</f>
        <v>482</v>
      </c>
    </row>
    <row r="21" spans="1:9" ht="13.8" thickBot="1" x14ac:dyDescent="0.3">
      <c r="A21" s="82" t="s">
        <v>608</v>
      </c>
      <c r="B21" s="613">
        <v>4</v>
      </c>
      <c r="C21" s="444">
        <f>(B21)*('Maximum Rates'!$D$7)</f>
        <v>408</v>
      </c>
      <c r="D21" s="650"/>
      <c r="E21" s="477" t="s">
        <v>398</v>
      </c>
      <c r="F21" s="613">
        <v>1</v>
      </c>
      <c r="G21" s="453">
        <f>(F21)*('Maximum Rates'!$D$9)</f>
        <v>74</v>
      </c>
      <c r="H21" s="99"/>
      <c r="I21" s="2361"/>
    </row>
    <row r="22" spans="1:9" ht="13.8" thickBot="1" x14ac:dyDescent="0.3">
      <c r="A22" s="2376" t="s">
        <v>873</v>
      </c>
      <c r="B22" s="2377"/>
      <c r="C22" s="2377"/>
      <c r="D22" s="2377"/>
      <c r="E22" s="2377"/>
      <c r="F22" s="2377"/>
      <c r="G22" s="2377"/>
      <c r="H22" s="2377"/>
      <c r="I22" s="2358">
        <f>SUM(C23+G23)</f>
        <v>519</v>
      </c>
    </row>
    <row r="23" spans="1:9" ht="13.8" thickBot="1" x14ac:dyDescent="0.3">
      <c r="A23" s="86" t="s">
        <v>608</v>
      </c>
      <c r="B23" s="613">
        <v>4</v>
      </c>
      <c r="C23" s="445">
        <f>(B23)*('Maximum Rates'!$D$7)</f>
        <v>408</v>
      </c>
      <c r="D23" s="655"/>
      <c r="E23" s="94" t="s">
        <v>398</v>
      </c>
      <c r="F23" s="613">
        <v>1.5</v>
      </c>
      <c r="G23" s="455">
        <f>(F23)*('Maximum Rates'!$D$9)</f>
        <v>111</v>
      </c>
      <c r="H23" s="86"/>
      <c r="I23" s="2359"/>
    </row>
    <row r="24" spans="1:9" ht="13.8" thickBot="1" x14ac:dyDescent="0.3">
      <c r="A24" s="2368" t="s">
        <v>247</v>
      </c>
      <c r="B24" s="2369"/>
      <c r="C24" s="2369"/>
      <c r="D24" s="2369"/>
      <c r="E24" s="2369"/>
      <c r="F24" s="2369"/>
      <c r="G24" s="2369"/>
      <c r="H24" s="2369"/>
      <c r="I24" s="2356">
        <f>SUM(C25+G25)</f>
        <v>825</v>
      </c>
    </row>
    <row r="25" spans="1:9" ht="13.8" thickBot="1" x14ac:dyDescent="0.3">
      <c r="A25" s="83" t="s">
        <v>608</v>
      </c>
      <c r="B25" s="613">
        <v>7</v>
      </c>
      <c r="C25" s="446">
        <f>(B25)*('Maximum Rates'!$D$7)</f>
        <v>714</v>
      </c>
      <c r="D25" s="651"/>
      <c r="E25" s="481" t="s">
        <v>398</v>
      </c>
      <c r="F25" s="613">
        <v>1.5</v>
      </c>
      <c r="G25" s="456">
        <f>(F25)*('Maximum Rates'!$D$9)</f>
        <v>111</v>
      </c>
      <c r="H25" s="83"/>
      <c r="I25" s="2357"/>
    </row>
    <row r="26" spans="1:9" ht="13.8" thickBot="1" x14ac:dyDescent="0.3">
      <c r="A26" s="2370" t="s">
        <v>874</v>
      </c>
      <c r="B26" s="2371"/>
      <c r="C26" s="2371"/>
      <c r="D26" s="2371"/>
      <c r="E26" s="2371"/>
      <c r="F26" s="2371"/>
      <c r="G26" s="2371"/>
      <c r="H26" s="2371"/>
      <c r="I26" s="2354">
        <f>SUM(C27+G27)</f>
        <v>760</v>
      </c>
    </row>
    <row r="27" spans="1:9" ht="13.8" thickBot="1" x14ac:dyDescent="0.3">
      <c r="A27" s="84" t="s">
        <v>608</v>
      </c>
      <c r="B27" s="613">
        <v>6</v>
      </c>
      <c r="C27" s="448">
        <f>(B27)*('Maximum Rates'!$D$7)</f>
        <v>612</v>
      </c>
      <c r="D27" s="642"/>
      <c r="E27" s="96" t="s">
        <v>398</v>
      </c>
      <c r="F27" s="613">
        <v>2</v>
      </c>
      <c r="G27" s="457">
        <f>(F27)*('Maximum Rates'!$D$9)</f>
        <v>148</v>
      </c>
      <c r="H27" s="449"/>
      <c r="I27" s="2355"/>
    </row>
    <row r="28" spans="1:9" ht="13.8" thickBot="1" x14ac:dyDescent="0.3">
      <c r="A28" s="2372" t="s">
        <v>248</v>
      </c>
      <c r="B28" s="2373"/>
      <c r="C28" s="2373"/>
      <c r="D28" s="2373"/>
      <c r="E28" s="2373"/>
      <c r="F28" s="2373"/>
      <c r="G28" s="2373"/>
      <c r="H28" s="2373"/>
      <c r="I28" s="2352">
        <f>SUM(C29+G29)</f>
        <v>964</v>
      </c>
    </row>
    <row r="29" spans="1:9" ht="13.8" thickBot="1" x14ac:dyDescent="0.3">
      <c r="A29" s="85" t="s">
        <v>608</v>
      </c>
      <c r="B29" s="613">
        <v>8</v>
      </c>
      <c r="C29" s="450">
        <f>(B29)*('Maximum Rates'!$D$7)</f>
        <v>816</v>
      </c>
      <c r="D29" s="653"/>
      <c r="E29" s="652" t="s">
        <v>398</v>
      </c>
      <c r="F29" s="613">
        <v>2</v>
      </c>
      <c r="G29" s="458">
        <f>(F29)*('Maximum Rates'!$D$9)</f>
        <v>148</v>
      </c>
      <c r="H29" s="85"/>
      <c r="I29" s="2353"/>
    </row>
    <row r="30" spans="1:9" ht="13.8" thickBot="1" x14ac:dyDescent="0.3">
      <c r="A30" s="2382" t="s">
        <v>875</v>
      </c>
      <c r="B30" s="2383"/>
      <c r="C30" s="2383"/>
      <c r="D30" s="2383"/>
      <c r="E30" s="2383"/>
      <c r="F30" s="2383"/>
      <c r="G30" s="2383"/>
      <c r="H30" s="2383"/>
      <c r="I30" s="2380">
        <f>SUM(C31+G31)</f>
        <v>1001</v>
      </c>
    </row>
    <row r="31" spans="1:9" ht="13.8" thickBot="1" x14ac:dyDescent="0.3">
      <c r="A31" s="80" t="s">
        <v>608</v>
      </c>
      <c r="B31" s="613">
        <v>8</v>
      </c>
      <c r="C31" s="459">
        <f>(B31)*('Maximum Rates'!$D$7)</f>
        <v>816</v>
      </c>
      <c r="D31" s="657"/>
      <c r="E31" s="656" t="s">
        <v>398</v>
      </c>
      <c r="F31" s="613">
        <v>2.5</v>
      </c>
      <c r="G31" s="460">
        <f>(F31)*('Maximum Rates'!$D$9)</f>
        <v>185</v>
      </c>
      <c r="H31" s="461"/>
      <c r="I31" s="2381"/>
    </row>
    <row r="32" spans="1:9" ht="13.8" thickBot="1" x14ac:dyDescent="0.3">
      <c r="A32" s="2384" t="s">
        <v>249</v>
      </c>
      <c r="B32" s="2385"/>
      <c r="C32" s="2385"/>
      <c r="D32" s="2385"/>
      <c r="E32" s="2385"/>
      <c r="F32" s="2385"/>
      <c r="G32" s="2385"/>
      <c r="H32" s="2385"/>
      <c r="I32" s="2378">
        <f>SUM(C33+G33)</f>
        <v>1205</v>
      </c>
    </row>
    <row r="33" spans="1:9" ht="13.8" thickBot="1" x14ac:dyDescent="0.3">
      <c r="A33" s="87" t="s">
        <v>608</v>
      </c>
      <c r="B33" s="613">
        <v>10</v>
      </c>
      <c r="C33" s="462">
        <f>(B33)*('Maximum Rates'!$D$7)</f>
        <v>1020</v>
      </c>
      <c r="D33" s="659"/>
      <c r="E33" s="658" t="s">
        <v>398</v>
      </c>
      <c r="F33" s="613">
        <v>2.5</v>
      </c>
      <c r="G33" s="463">
        <f>(F33)*('Maximum Rates'!$D$9)</f>
        <v>185</v>
      </c>
      <c r="H33" s="464"/>
      <c r="I33" s="2379"/>
    </row>
    <row r="34" spans="1:9" customFormat="1" ht="13.8" thickBot="1" x14ac:dyDescent="0.3"/>
    <row r="35" spans="1:9" ht="13.8" thickBot="1" x14ac:dyDescent="0.3">
      <c r="A35" s="2011" t="s">
        <v>927</v>
      </c>
      <c r="B35" s="2012"/>
      <c r="C35" s="2012"/>
      <c r="D35" s="2012"/>
      <c r="E35" s="2012"/>
      <c r="F35" s="2012"/>
      <c r="G35" s="2012"/>
      <c r="H35" s="2012"/>
      <c r="I35" s="2013"/>
    </row>
    <row r="36" spans="1:9" ht="13.8" thickBot="1" x14ac:dyDescent="0.3">
      <c r="A36" s="2362" t="s">
        <v>929</v>
      </c>
      <c r="B36" s="2363"/>
      <c r="C36" s="2363"/>
      <c r="D36" s="2363"/>
      <c r="E36" s="2363"/>
      <c r="F36" s="2363"/>
      <c r="G36" s="2363"/>
      <c r="H36" s="2363"/>
      <c r="I36" s="2343">
        <f>SUM(C37+G37)</f>
        <v>431</v>
      </c>
    </row>
    <row r="37" spans="1:9" ht="13.8" thickBot="1" x14ac:dyDescent="0.3">
      <c r="A37" s="81" t="s">
        <v>608</v>
      </c>
      <c r="B37" s="613">
        <v>3.5</v>
      </c>
      <c r="C37" s="465">
        <f>(B37)*('Maximum Rates'!$D$7)</f>
        <v>357</v>
      </c>
      <c r="D37" s="637"/>
      <c r="E37" s="89" t="s">
        <v>398</v>
      </c>
      <c r="F37" s="613">
        <v>1</v>
      </c>
      <c r="G37" s="465">
        <f>(F37)*('Maximum Rates'!$D$9)</f>
        <v>74</v>
      </c>
      <c r="H37" s="90"/>
      <c r="I37" s="2344"/>
    </row>
    <row r="38" spans="1:9" ht="13.8" thickBot="1" x14ac:dyDescent="0.3">
      <c r="A38" s="2364" t="s">
        <v>930</v>
      </c>
      <c r="B38" s="2365"/>
      <c r="C38" s="2365"/>
      <c r="D38" s="2365"/>
      <c r="E38" s="2365"/>
      <c r="F38" s="2365"/>
      <c r="G38" s="2365"/>
      <c r="H38" s="2365"/>
      <c r="I38" s="2360">
        <f>SUM(C39+G39)</f>
        <v>672</v>
      </c>
    </row>
    <row r="39" spans="1:9" ht="13.8" thickBot="1" x14ac:dyDescent="0.3">
      <c r="A39" s="82" t="s">
        <v>608</v>
      </c>
      <c r="B39" s="613">
        <v>5.5</v>
      </c>
      <c r="C39" s="466">
        <f>(B39)*('Maximum Rates'!$D$7)</f>
        <v>561</v>
      </c>
      <c r="D39" s="650"/>
      <c r="E39" s="91" t="s">
        <v>398</v>
      </c>
      <c r="F39" s="613">
        <v>1.5</v>
      </c>
      <c r="G39" s="466">
        <f>(F39)*('Maximum Rates'!$D$9)</f>
        <v>111</v>
      </c>
      <c r="H39" s="88"/>
      <c r="I39" s="2361"/>
    </row>
    <row r="40" spans="1:9" ht="13.8" thickBot="1" x14ac:dyDescent="0.3">
      <c r="A40" s="2366" t="s">
        <v>931</v>
      </c>
      <c r="B40" s="2367"/>
      <c r="C40" s="2367"/>
      <c r="D40" s="2367"/>
      <c r="E40" s="2367"/>
      <c r="F40" s="2367"/>
      <c r="G40" s="2367"/>
      <c r="H40" s="2367"/>
      <c r="I40" s="2358">
        <f>SUM(C41+G41)</f>
        <v>913</v>
      </c>
    </row>
    <row r="41" spans="1:9" ht="13.8" thickBot="1" x14ac:dyDescent="0.3">
      <c r="A41" s="86" t="s">
        <v>608</v>
      </c>
      <c r="B41" s="613">
        <v>7.5</v>
      </c>
      <c r="C41" s="467">
        <f>(B41)*('Maximum Rates'!$D$7)</f>
        <v>765</v>
      </c>
      <c r="D41" s="647"/>
      <c r="E41" s="94" t="s">
        <v>398</v>
      </c>
      <c r="F41" s="613">
        <v>2</v>
      </c>
      <c r="G41" s="467">
        <f>(F41)*('Maximum Rates'!$D$9)</f>
        <v>148</v>
      </c>
      <c r="H41" s="95"/>
      <c r="I41" s="2359"/>
    </row>
    <row r="42" spans="1:9" ht="13.8" thickBot="1" x14ac:dyDescent="0.3">
      <c r="A42" s="2368" t="s">
        <v>932</v>
      </c>
      <c r="B42" s="2369"/>
      <c r="C42" s="2369"/>
      <c r="D42" s="2369"/>
      <c r="E42" s="2369"/>
      <c r="F42" s="2369"/>
      <c r="G42" s="2369"/>
      <c r="H42" s="2369"/>
      <c r="I42" s="2356">
        <f>SUM(C43+G43)</f>
        <v>1154</v>
      </c>
    </row>
    <row r="43" spans="1:9" ht="13.8" thickBot="1" x14ac:dyDescent="0.3">
      <c r="A43" s="83" t="s">
        <v>608</v>
      </c>
      <c r="B43" s="613">
        <v>9.5</v>
      </c>
      <c r="C43" s="468">
        <f>(B43)*('Maximum Rates'!$D$7)</f>
        <v>969</v>
      </c>
      <c r="D43" s="651"/>
      <c r="E43" s="92" t="s">
        <v>398</v>
      </c>
      <c r="F43" s="613">
        <v>2.5</v>
      </c>
      <c r="G43" s="468">
        <f>(F43)*('Maximum Rates'!$D$9)</f>
        <v>185</v>
      </c>
      <c r="H43" s="93"/>
      <c r="I43" s="2357"/>
    </row>
    <row r="44" spans="1:9" ht="13.8" thickBot="1" x14ac:dyDescent="0.3">
      <c r="A44" s="2370" t="s">
        <v>933</v>
      </c>
      <c r="B44" s="2371"/>
      <c r="C44" s="2371"/>
      <c r="D44" s="2371"/>
      <c r="E44" s="2371"/>
      <c r="F44" s="2371"/>
      <c r="G44" s="2371"/>
      <c r="H44" s="2371"/>
      <c r="I44" s="2354">
        <f>SUM(C45+G45)</f>
        <v>1395</v>
      </c>
    </row>
    <row r="45" spans="1:9" ht="13.8" thickBot="1" x14ac:dyDescent="0.3">
      <c r="A45" s="84" t="s">
        <v>608</v>
      </c>
      <c r="B45" s="613">
        <v>11.5</v>
      </c>
      <c r="C45" s="447">
        <f>(B45)*('Maximum Rates'!$D$7)</f>
        <v>1173</v>
      </c>
      <c r="D45" s="634"/>
      <c r="E45" s="96" t="s">
        <v>398</v>
      </c>
      <c r="F45" s="613">
        <v>3</v>
      </c>
      <c r="G45" s="447">
        <f>(F45)*('Maximum Rates'!$D$9)</f>
        <v>222</v>
      </c>
      <c r="H45" s="97"/>
      <c r="I45" s="2355"/>
    </row>
    <row r="46" spans="1:9" customFormat="1" x14ac:dyDescent="0.25"/>
    <row r="47" spans="1:9" customFormat="1" x14ac:dyDescent="0.25"/>
    <row r="48" spans="1:9" customFormat="1" x14ac:dyDescent="0.25"/>
    <row r="49" spans="1:9" customFormat="1" x14ac:dyDescent="0.25"/>
    <row r="50" spans="1:9" customFormat="1" x14ac:dyDescent="0.25"/>
    <row r="51" spans="1:9" customFormat="1" x14ac:dyDescent="0.25"/>
    <row r="52" spans="1:9" customFormat="1" x14ac:dyDescent="0.25"/>
    <row r="53" spans="1:9" customFormat="1" x14ac:dyDescent="0.25"/>
    <row r="54" spans="1:9" customFormat="1" x14ac:dyDescent="0.25"/>
    <row r="55" spans="1:9" customFormat="1" x14ac:dyDescent="0.25"/>
    <row r="56" spans="1:9" customFormat="1" ht="13.8" thickBot="1" x14ac:dyDescent="0.3"/>
    <row r="57" spans="1:9" ht="13.8" thickBot="1" x14ac:dyDescent="0.3">
      <c r="A57" s="2011" t="s">
        <v>928</v>
      </c>
      <c r="B57" s="2012"/>
      <c r="C57" s="2012"/>
      <c r="D57" s="2012"/>
      <c r="E57" s="2012"/>
      <c r="F57" s="2012"/>
      <c r="G57" s="2012"/>
      <c r="H57" s="2012"/>
      <c r="I57" s="2013"/>
    </row>
    <row r="58" spans="1:9" ht="13.8" thickBot="1" x14ac:dyDescent="0.3">
      <c r="A58" s="2362" t="s">
        <v>929</v>
      </c>
      <c r="B58" s="2363"/>
      <c r="C58" s="2363"/>
      <c r="D58" s="2363"/>
      <c r="E58" s="2363"/>
      <c r="F58" s="2363"/>
      <c r="G58" s="2363"/>
      <c r="H58" s="2363"/>
      <c r="I58" s="2343">
        <f>SUM(C59+G59)</f>
        <v>482</v>
      </c>
    </row>
    <row r="59" spans="1:9" ht="13.8" thickBot="1" x14ac:dyDescent="0.3">
      <c r="A59" s="81" t="s">
        <v>608</v>
      </c>
      <c r="B59" s="613">
        <v>4</v>
      </c>
      <c r="C59" s="465">
        <f>(B59)*('Maximum Rates'!$D$7)</f>
        <v>408</v>
      </c>
      <c r="D59" s="637"/>
      <c r="E59" s="89" t="s">
        <v>398</v>
      </c>
      <c r="F59" s="613">
        <v>1</v>
      </c>
      <c r="G59" s="465">
        <f>(F59)*('Maximum Rates'!$D$9)</f>
        <v>74</v>
      </c>
      <c r="H59" s="90"/>
      <c r="I59" s="2344"/>
    </row>
    <row r="60" spans="1:9" ht="13.8" thickBot="1" x14ac:dyDescent="0.3">
      <c r="A60" s="2364" t="s">
        <v>930</v>
      </c>
      <c r="B60" s="2365"/>
      <c r="C60" s="2365"/>
      <c r="D60" s="2365"/>
      <c r="E60" s="2365"/>
      <c r="F60" s="2365"/>
      <c r="G60" s="2365"/>
      <c r="H60" s="2365"/>
      <c r="I60" s="2360">
        <f>SUM(C61+G61)</f>
        <v>723</v>
      </c>
    </row>
    <row r="61" spans="1:9" ht="13.8" thickBot="1" x14ac:dyDescent="0.3">
      <c r="A61" s="82" t="s">
        <v>608</v>
      </c>
      <c r="B61" s="613">
        <v>6</v>
      </c>
      <c r="C61" s="466">
        <f>(B61)*('Maximum Rates'!$D$7)</f>
        <v>612</v>
      </c>
      <c r="D61" s="635"/>
      <c r="E61" s="91" t="s">
        <v>398</v>
      </c>
      <c r="F61" s="613">
        <v>1.5</v>
      </c>
      <c r="G61" s="466">
        <f>(F61)*('Maximum Rates'!$D$9)</f>
        <v>111</v>
      </c>
      <c r="H61" s="88"/>
      <c r="I61" s="2361"/>
    </row>
    <row r="62" spans="1:9" ht="13.8" thickBot="1" x14ac:dyDescent="0.3">
      <c r="A62" s="2366" t="s">
        <v>931</v>
      </c>
      <c r="B62" s="2367"/>
      <c r="C62" s="2367"/>
      <c r="D62" s="2367"/>
      <c r="E62" s="2367"/>
      <c r="F62" s="2367"/>
      <c r="G62" s="2367"/>
      <c r="H62" s="2367"/>
      <c r="I62" s="2358">
        <f>SUM(C63+G63)</f>
        <v>964</v>
      </c>
    </row>
    <row r="63" spans="1:9" ht="13.8" thickBot="1" x14ac:dyDescent="0.3">
      <c r="A63" s="86" t="s">
        <v>608</v>
      </c>
      <c r="B63" s="613">
        <v>8</v>
      </c>
      <c r="C63" s="467">
        <f>(B63)*('Maximum Rates'!$D$7)</f>
        <v>816</v>
      </c>
      <c r="D63" s="655"/>
      <c r="E63" s="94" t="s">
        <v>398</v>
      </c>
      <c r="F63" s="613">
        <v>2</v>
      </c>
      <c r="G63" s="467">
        <f>(F63)*('Maximum Rates'!$D$9)</f>
        <v>148</v>
      </c>
      <c r="H63" s="95"/>
      <c r="I63" s="2359"/>
    </row>
    <row r="64" spans="1:9" ht="13.8" thickBot="1" x14ac:dyDescent="0.3">
      <c r="A64" s="2368" t="s">
        <v>932</v>
      </c>
      <c r="B64" s="2369"/>
      <c r="C64" s="2369"/>
      <c r="D64" s="2369"/>
      <c r="E64" s="2369"/>
      <c r="F64" s="2369"/>
      <c r="G64" s="2369"/>
      <c r="H64" s="2369"/>
      <c r="I64" s="2356">
        <f>SUM(C65+G65)</f>
        <v>1205</v>
      </c>
    </row>
    <row r="65" spans="1:9" ht="13.8" thickBot="1" x14ac:dyDescent="0.3">
      <c r="A65" s="83" t="s">
        <v>608</v>
      </c>
      <c r="B65" s="613">
        <v>10</v>
      </c>
      <c r="C65" s="468">
        <f>(B65)*('Maximum Rates'!$D$7)</f>
        <v>1020</v>
      </c>
      <c r="D65" s="651"/>
      <c r="E65" s="92" t="s">
        <v>398</v>
      </c>
      <c r="F65" s="613">
        <v>2.5</v>
      </c>
      <c r="G65" s="468">
        <f>(F65)*('Maximum Rates'!$D$9)</f>
        <v>185</v>
      </c>
      <c r="H65" s="93"/>
      <c r="I65" s="2357"/>
    </row>
    <row r="66" spans="1:9" ht="13.8" thickBot="1" x14ac:dyDescent="0.3">
      <c r="A66" s="2370" t="s">
        <v>933</v>
      </c>
      <c r="B66" s="2371"/>
      <c r="C66" s="2371"/>
      <c r="D66" s="2371"/>
      <c r="E66" s="2371"/>
      <c r="F66" s="2371"/>
      <c r="G66" s="2371"/>
      <c r="H66" s="2371"/>
      <c r="I66" s="2354">
        <f>SUM(C67+G67)</f>
        <v>1446</v>
      </c>
    </row>
    <row r="67" spans="1:9" ht="13.8" thickBot="1" x14ac:dyDescent="0.3">
      <c r="A67" s="84" t="s">
        <v>608</v>
      </c>
      <c r="B67" s="613">
        <v>12</v>
      </c>
      <c r="C67" s="447">
        <f>(B67)*('Maximum Rates'!$D$7)</f>
        <v>1224</v>
      </c>
      <c r="D67" s="634"/>
      <c r="E67" s="96" t="s">
        <v>398</v>
      </c>
      <c r="F67" s="613">
        <v>3</v>
      </c>
      <c r="G67" s="447">
        <f>(F67)*('Maximum Rates'!$D$9)</f>
        <v>222</v>
      </c>
      <c r="H67" s="97"/>
      <c r="I67" s="2355"/>
    </row>
    <row r="68" spans="1:9" ht="13.8" thickBot="1" x14ac:dyDescent="0.3">
      <c r="A68" s="585"/>
      <c r="B68" s="578"/>
      <c r="C68" s="586"/>
      <c r="D68" s="586"/>
      <c r="E68" s="587"/>
      <c r="F68" s="578"/>
      <c r="G68" s="586"/>
      <c r="H68" s="578"/>
      <c r="I68" s="588"/>
    </row>
    <row r="69" spans="1:9" ht="13.8" thickBot="1" x14ac:dyDescent="0.3">
      <c r="A69" s="2011" t="s">
        <v>250</v>
      </c>
      <c r="B69" s="2012"/>
      <c r="C69" s="2012"/>
      <c r="D69" s="2012"/>
      <c r="E69" s="2012"/>
      <c r="F69" s="2012"/>
      <c r="G69" s="2012"/>
      <c r="H69" s="2012"/>
      <c r="I69" s="2013"/>
    </row>
    <row r="70" spans="1:9" ht="13.8" thickBot="1" x14ac:dyDescent="0.3">
      <c r="A70" s="2362" t="s">
        <v>817</v>
      </c>
      <c r="B70" s="2363"/>
      <c r="C70" s="2363"/>
      <c r="D70" s="2363"/>
      <c r="E70" s="2363"/>
      <c r="F70" s="2363"/>
      <c r="G70" s="2363"/>
      <c r="H70" s="2363"/>
      <c r="I70" s="2343">
        <f>SUM(C71+G71)</f>
        <v>153</v>
      </c>
    </row>
    <row r="71" spans="1:9" ht="13.8" thickBot="1" x14ac:dyDescent="0.3">
      <c r="A71" s="81" t="s">
        <v>608</v>
      </c>
      <c r="B71" s="613">
        <v>1.5</v>
      </c>
      <c r="C71" s="470">
        <f>(B71)*('Maximum Rates'!$D$7)</f>
        <v>153</v>
      </c>
      <c r="D71" s="660"/>
      <c r="E71" s="649" t="s">
        <v>398</v>
      </c>
      <c r="F71" s="618"/>
      <c r="G71" s="469">
        <f>(F71)*('Maximum Rates'!$D$9)</f>
        <v>0</v>
      </c>
      <c r="H71" s="443"/>
      <c r="I71" s="2344"/>
    </row>
    <row r="72" spans="1:9" ht="13.8" thickBot="1" x14ac:dyDescent="0.3">
      <c r="A72" s="2364" t="s">
        <v>818</v>
      </c>
      <c r="B72" s="2365"/>
      <c r="C72" s="2365"/>
      <c r="D72" s="2365"/>
      <c r="E72" s="2365"/>
      <c r="F72" s="2365"/>
      <c r="G72" s="2365"/>
      <c r="H72" s="2365"/>
      <c r="I72" s="2360">
        <f>SUM(C73+G73)</f>
        <v>255</v>
      </c>
    </row>
    <row r="73" spans="1:9" ht="13.8" thickBot="1" x14ac:dyDescent="0.3">
      <c r="A73" s="82" t="s">
        <v>608</v>
      </c>
      <c r="B73" s="613">
        <v>2.5</v>
      </c>
      <c r="C73" s="472">
        <f>(B73)*('Maximum Rates'!$D$7)</f>
        <v>255</v>
      </c>
      <c r="D73" s="638"/>
      <c r="E73" s="477" t="s">
        <v>398</v>
      </c>
      <c r="F73" s="618"/>
      <c r="G73" s="471">
        <f>(F73)*('Maximum Rates'!$D$9)</f>
        <v>0</v>
      </c>
      <c r="H73" s="99"/>
      <c r="I73" s="2361"/>
    </row>
    <row r="74" spans="1:9" ht="13.8" thickBot="1" x14ac:dyDescent="0.3">
      <c r="A74" s="2366" t="s">
        <v>819</v>
      </c>
      <c r="B74" s="2367"/>
      <c r="C74" s="2367"/>
      <c r="D74" s="2367"/>
      <c r="E74" s="2367"/>
      <c r="F74" s="2367"/>
      <c r="G74" s="2367"/>
      <c r="H74" s="2367"/>
      <c r="I74" s="2358">
        <f>SUM(C75+G75)</f>
        <v>357</v>
      </c>
    </row>
    <row r="75" spans="1:9" ht="13.8" thickBot="1" x14ac:dyDescent="0.3">
      <c r="A75" s="86" t="s">
        <v>608</v>
      </c>
      <c r="B75" s="613">
        <v>3.5</v>
      </c>
      <c r="C75" s="474">
        <f>(B75)*('Maximum Rates'!$D$7)</f>
        <v>357</v>
      </c>
      <c r="D75" s="639"/>
      <c r="E75" s="493" t="s">
        <v>398</v>
      </c>
      <c r="F75" s="618"/>
      <c r="G75" s="473">
        <f>(F75)*('Maximum Rates'!$D$9)</f>
        <v>0</v>
      </c>
      <c r="H75" s="98"/>
      <c r="I75" s="2359"/>
    </row>
    <row r="76" spans="1:9" ht="13.8" thickBot="1" x14ac:dyDescent="0.3">
      <c r="A76" s="2368" t="s">
        <v>820</v>
      </c>
      <c r="B76" s="2369"/>
      <c r="C76" s="2369"/>
      <c r="D76" s="2369"/>
      <c r="E76" s="2369"/>
      <c r="F76" s="2369"/>
      <c r="G76" s="2369"/>
      <c r="H76" s="2369"/>
      <c r="I76" s="2356">
        <f>SUM(C77+G77)</f>
        <v>561</v>
      </c>
    </row>
    <row r="77" spans="1:9" ht="13.8" thickBot="1" x14ac:dyDescent="0.3">
      <c r="A77" s="83" t="s">
        <v>608</v>
      </c>
      <c r="B77" s="613">
        <v>5.5</v>
      </c>
      <c r="C77" s="476">
        <f>(B77)*('Maximum Rates'!$D$7)</f>
        <v>561</v>
      </c>
      <c r="D77" s="640"/>
      <c r="E77" s="481" t="s">
        <v>398</v>
      </c>
      <c r="F77" s="618"/>
      <c r="G77" s="475">
        <f>(F77)*('Maximum Rates'!$D$9)</f>
        <v>0</v>
      </c>
      <c r="H77" s="100"/>
      <c r="I77" s="2357"/>
    </row>
    <row r="78" spans="1:9" customFormat="1" ht="13.8" thickBot="1" x14ac:dyDescent="0.3"/>
    <row r="79" spans="1:9" ht="13.8" thickBot="1" x14ac:dyDescent="0.3">
      <c r="A79" s="2011" t="s">
        <v>1075</v>
      </c>
      <c r="B79" s="2012"/>
      <c r="C79" s="2012"/>
      <c r="D79" s="2012"/>
      <c r="E79" s="2012"/>
      <c r="F79" s="2012"/>
      <c r="G79" s="2012"/>
      <c r="H79" s="2012"/>
      <c r="I79" s="2013"/>
    </row>
    <row r="80" spans="1:9" ht="13.8" thickBot="1" x14ac:dyDescent="0.3">
      <c r="A80" s="2362" t="s">
        <v>1057</v>
      </c>
      <c r="B80" s="2363"/>
      <c r="C80" s="2363"/>
      <c r="D80" s="2363"/>
      <c r="E80" s="2363"/>
      <c r="F80" s="2363"/>
      <c r="G80" s="2363"/>
      <c r="H80" s="2363"/>
      <c r="I80" s="2343">
        <f>C81+G81</f>
        <v>148</v>
      </c>
    </row>
    <row r="81" spans="1:9" ht="13.8" thickBot="1" x14ac:dyDescent="0.3">
      <c r="A81" s="81" t="s">
        <v>399</v>
      </c>
      <c r="B81" s="614">
        <v>0</v>
      </c>
      <c r="C81" s="465">
        <f>(B81)*('Maximum Rates'!D7)</f>
        <v>0</v>
      </c>
      <c r="D81" s="637"/>
      <c r="E81" s="89" t="s">
        <v>398</v>
      </c>
      <c r="F81" s="614">
        <v>2</v>
      </c>
      <c r="G81" s="465">
        <f>(F81)*('Maximum Rates'!$D$9)</f>
        <v>148</v>
      </c>
      <c r="H81" s="443"/>
      <c r="I81" s="2344"/>
    </row>
    <row r="82" spans="1:9" ht="13.8" thickBot="1" x14ac:dyDescent="0.3">
      <c r="A82" s="2364" t="s">
        <v>1058</v>
      </c>
      <c r="B82" s="2365"/>
      <c r="C82" s="2365"/>
      <c r="D82" s="2365"/>
      <c r="E82" s="2365"/>
      <c r="F82" s="2365"/>
      <c r="G82" s="2365"/>
      <c r="H82" s="2365"/>
      <c r="I82" s="2360">
        <f>C83+G83</f>
        <v>408</v>
      </c>
    </row>
    <row r="83" spans="1:9" ht="13.8" thickBot="1" x14ac:dyDescent="0.3">
      <c r="A83" s="82" t="s">
        <v>399</v>
      </c>
      <c r="B83" s="614">
        <v>4</v>
      </c>
      <c r="C83" s="466">
        <f>(B83)*('Maximum Rates'!D7)</f>
        <v>408</v>
      </c>
      <c r="D83" s="635"/>
      <c r="E83" s="477" t="s">
        <v>398</v>
      </c>
      <c r="F83" s="614"/>
      <c r="G83" s="466">
        <f>(F83)*('Maximum Rates'!$D$9)</f>
        <v>0</v>
      </c>
      <c r="H83" s="99"/>
      <c r="I83" s="2361"/>
    </row>
    <row r="84" spans="1:9" ht="13.8" thickBot="1" x14ac:dyDescent="0.3">
      <c r="A84" s="2366" t="s">
        <v>1059</v>
      </c>
      <c r="B84" s="2367"/>
      <c r="C84" s="2367"/>
      <c r="D84" s="2367"/>
      <c r="E84" s="2367"/>
      <c r="F84" s="2367"/>
      <c r="G84" s="2367"/>
      <c r="H84" s="2367"/>
      <c r="I84" s="2358">
        <f>C85+G85</f>
        <v>296</v>
      </c>
    </row>
    <row r="85" spans="1:9" ht="13.8" thickBot="1" x14ac:dyDescent="0.3">
      <c r="A85" s="478" t="s">
        <v>399</v>
      </c>
      <c r="B85" s="617">
        <v>0</v>
      </c>
      <c r="C85" s="479">
        <f>(B85)*('Maximum Rates'!$D$7)</f>
        <v>0</v>
      </c>
      <c r="D85" s="641"/>
      <c r="E85" s="480" t="s">
        <v>398</v>
      </c>
      <c r="F85" s="617">
        <v>4</v>
      </c>
      <c r="G85" s="479">
        <f>(F85)*('Maximum Rates'!$D$9)</f>
        <v>296</v>
      </c>
      <c r="H85" s="454"/>
      <c r="I85" s="2359"/>
    </row>
    <row r="86" spans="1:9" ht="13.8" thickBot="1" x14ac:dyDescent="0.3">
      <c r="A86" s="2368" t="s">
        <v>1060</v>
      </c>
      <c r="B86" s="2369"/>
      <c r="C86" s="2369"/>
      <c r="D86" s="2369"/>
      <c r="E86" s="2369"/>
      <c r="F86" s="2369"/>
      <c r="G86" s="2369"/>
      <c r="H86" s="2369"/>
      <c r="I86" s="2356">
        <f>C87+G87</f>
        <v>352</v>
      </c>
    </row>
    <row r="87" spans="1:9" ht="13.8" thickBot="1" x14ac:dyDescent="0.3">
      <c r="A87" s="83" t="s">
        <v>399</v>
      </c>
      <c r="B87" s="614">
        <v>2</v>
      </c>
      <c r="C87" s="468">
        <f>(B87)*('Maximum Rates'!$D$7)</f>
        <v>204</v>
      </c>
      <c r="D87" s="636"/>
      <c r="E87" s="481" t="s">
        <v>398</v>
      </c>
      <c r="F87" s="614">
        <v>2</v>
      </c>
      <c r="G87" s="468">
        <f>(F87)*('Maximum Rates'!$D$9)</f>
        <v>148</v>
      </c>
      <c r="H87" s="100"/>
      <c r="I87" s="2357"/>
    </row>
    <row r="88" spans="1:9" ht="13.8" thickBot="1" x14ac:dyDescent="0.3">
      <c r="A88" s="2370" t="s">
        <v>1061</v>
      </c>
      <c r="B88" s="2371"/>
      <c r="C88" s="2371"/>
      <c r="D88" s="2371"/>
      <c r="E88" s="2371"/>
      <c r="F88" s="2371"/>
      <c r="G88" s="2371"/>
      <c r="H88" s="2371"/>
      <c r="I88" s="2354">
        <f>C89+G89</f>
        <v>111</v>
      </c>
    </row>
    <row r="89" spans="1:9" ht="13.8" thickBot="1" x14ac:dyDescent="0.3">
      <c r="A89" s="84" t="s">
        <v>399</v>
      </c>
      <c r="B89" s="614">
        <v>0</v>
      </c>
      <c r="C89" s="447">
        <f>(B89)*('Maximum Rates'!$D$7)</f>
        <v>0</v>
      </c>
      <c r="D89" s="642"/>
      <c r="E89" s="482" t="s">
        <v>398</v>
      </c>
      <c r="F89" s="614">
        <v>1.5</v>
      </c>
      <c r="G89" s="447">
        <f>(F89)*('Maximum Rates'!$D$9)</f>
        <v>111</v>
      </c>
      <c r="H89" s="449"/>
      <c r="I89" s="2355"/>
    </row>
    <row r="90" spans="1:9" ht="13.8" thickBot="1" x14ac:dyDescent="0.3">
      <c r="A90" s="2390" t="s">
        <v>1227</v>
      </c>
      <c r="B90" s="2391"/>
      <c r="C90" s="2391"/>
      <c r="D90" s="2391"/>
      <c r="E90" s="2391"/>
      <c r="F90" s="2391"/>
      <c r="G90" s="2391"/>
      <c r="H90" s="2391"/>
      <c r="I90" s="2352">
        <f>C91+G91</f>
        <v>148</v>
      </c>
    </row>
    <row r="91" spans="1:9" ht="13.8" thickBot="1" x14ac:dyDescent="0.3">
      <c r="A91" s="85" t="s">
        <v>399</v>
      </c>
      <c r="B91" s="614">
        <v>0</v>
      </c>
      <c r="C91" s="483">
        <f>(B91)*('Maximum Rates'!$D$7)</f>
        <v>0</v>
      </c>
      <c r="D91" s="643"/>
      <c r="E91" s="484" t="s">
        <v>398</v>
      </c>
      <c r="F91" s="614">
        <v>2</v>
      </c>
      <c r="G91" s="483">
        <f>(F91)*('Maximum Rates'!$D$9)</f>
        <v>148</v>
      </c>
      <c r="H91" s="451"/>
      <c r="I91" s="2353"/>
    </row>
    <row r="92" spans="1:9" ht="13.8" thickBot="1" x14ac:dyDescent="0.3">
      <c r="A92" s="1188" t="s">
        <v>1233</v>
      </c>
      <c r="B92" s="1074"/>
      <c r="C92" s="1069"/>
      <c r="D92" s="1070"/>
      <c r="E92" s="1071"/>
      <c r="F92" s="1074"/>
      <c r="G92" s="1187" t="s">
        <v>1232</v>
      </c>
      <c r="H92" s="1072"/>
      <c r="I92" s="1073">
        <f>C93+G93</f>
        <v>111</v>
      </c>
    </row>
    <row r="93" spans="1:9" ht="13.8" thickBot="1" x14ac:dyDescent="0.3">
      <c r="A93" s="1068" t="s">
        <v>399</v>
      </c>
      <c r="B93" s="614"/>
      <c r="C93" s="483"/>
      <c r="D93" s="1070"/>
      <c r="E93" s="1071" t="s">
        <v>398</v>
      </c>
      <c r="F93" s="613">
        <v>1.5</v>
      </c>
      <c r="G93" s="483">
        <f>(F93)*('Maximum Rates'!$D$9)</f>
        <v>111</v>
      </c>
      <c r="H93" s="1072"/>
      <c r="I93" s="1073"/>
    </row>
    <row r="94" spans="1:9" ht="13.8" thickBot="1" x14ac:dyDescent="0.3">
      <c r="A94" s="2388" t="s">
        <v>1062</v>
      </c>
      <c r="B94" s="2389"/>
      <c r="C94" s="2389"/>
      <c r="D94" s="2389"/>
      <c r="E94" s="2389"/>
      <c r="F94" s="2389"/>
      <c r="G94" s="2389"/>
      <c r="H94" s="2389"/>
      <c r="I94" s="2380">
        <f>C95+G95</f>
        <v>18.5</v>
      </c>
    </row>
    <row r="95" spans="1:9" ht="13.8" thickBot="1" x14ac:dyDescent="0.3">
      <c r="A95" s="80" t="s">
        <v>399</v>
      </c>
      <c r="B95" s="614">
        <v>0</v>
      </c>
      <c r="C95" s="459">
        <f>(B95)*('Maximum Rates'!$D$7)</f>
        <v>0</v>
      </c>
      <c r="D95" s="644"/>
      <c r="E95" s="485" t="s">
        <v>398</v>
      </c>
      <c r="F95" s="614">
        <v>0.25</v>
      </c>
      <c r="G95" s="459">
        <f>(F95)*('Maximum Rates'!$D$9)</f>
        <v>18.5</v>
      </c>
      <c r="H95" s="461"/>
      <c r="I95" s="2381"/>
    </row>
    <row r="96" spans="1:9" ht="13.8" thickBot="1" x14ac:dyDescent="0.3">
      <c r="A96" s="2386" t="s">
        <v>1063</v>
      </c>
      <c r="B96" s="2387"/>
      <c r="C96" s="2387"/>
      <c r="D96" s="2387"/>
      <c r="E96" s="2387"/>
      <c r="F96" s="2387"/>
      <c r="G96" s="2387"/>
      <c r="H96" s="2387"/>
      <c r="I96" s="2378">
        <f>C97+G97</f>
        <v>74</v>
      </c>
    </row>
    <row r="97" spans="1:9" ht="13.8" thickBot="1" x14ac:dyDescent="0.3">
      <c r="A97" s="87" t="s">
        <v>399</v>
      </c>
      <c r="B97" s="614">
        <v>0</v>
      </c>
      <c r="C97" s="462">
        <f>(B97)*('Maximum Rates'!$D$7)</f>
        <v>0</v>
      </c>
      <c r="D97" s="645"/>
      <c r="E97" s="486" t="s">
        <v>398</v>
      </c>
      <c r="F97" s="614">
        <v>1</v>
      </c>
      <c r="G97" s="462">
        <f>(F97)*('Maximum Rates'!$D$9)</f>
        <v>74</v>
      </c>
      <c r="H97" s="464"/>
      <c r="I97" s="2379"/>
    </row>
    <row r="98" spans="1:9" ht="13.8" thickBot="1" x14ac:dyDescent="0.3">
      <c r="A98" s="2392" t="s">
        <v>1064</v>
      </c>
      <c r="B98" s="2393"/>
      <c r="C98" s="2393"/>
      <c r="D98" s="2393"/>
      <c r="E98" s="2393"/>
      <c r="F98" s="2393"/>
      <c r="G98" s="2393"/>
      <c r="H98" s="2393"/>
      <c r="I98" s="2396">
        <f>C99+G99</f>
        <v>85.1</v>
      </c>
    </row>
    <row r="99" spans="1:9" ht="13.8" thickBot="1" x14ac:dyDescent="0.3">
      <c r="A99" s="487" t="s">
        <v>399</v>
      </c>
      <c r="B99" s="617">
        <v>0</v>
      </c>
      <c r="C99" s="488">
        <f>(B99)*('Maximum Rates'!$D$7)</f>
        <v>0</v>
      </c>
      <c r="D99" s="646"/>
      <c r="E99" s="489" t="s">
        <v>398</v>
      </c>
      <c r="F99" s="617">
        <v>1.1499999999999999</v>
      </c>
      <c r="G99" s="488">
        <f>(F99)*('Maximum Rates'!$D$9)</f>
        <v>85.1</v>
      </c>
      <c r="H99" s="490"/>
      <c r="I99" s="2397"/>
    </row>
    <row r="100" spans="1:9" ht="13.8" thickBot="1" x14ac:dyDescent="0.3">
      <c r="A100" s="2345" t="s">
        <v>1065</v>
      </c>
      <c r="B100" s="2346"/>
      <c r="C100" s="2346"/>
      <c r="D100" s="2346"/>
      <c r="E100" s="2346"/>
      <c r="F100" s="2346"/>
      <c r="G100" s="2346"/>
      <c r="H100" s="2346"/>
      <c r="I100" s="2343">
        <f>C101+G101</f>
        <v>92.5</v>
      </c>
    </row>
    <row r="101" spans="1:9" ht="13.8" thickBot="1" x14ac:dyDescent="0.3">
      <c r="A101" s="81" t="s">
        <v>399</v>
      </c>
      <c r="B101" s="614">
        <v>0</v>
      </c>
      <c r="C101" s="465">
        <f>(B101)*('Maximum Rates'!$D$7)</f>
        <v>0</v>
      </c>
      <c r="D101" s="637"/>
      <c r="E101" s="89" t="s">
        <v>398</v>
      </c>
      <c r="F101" s="614">
        <v>1.25</v>
      </c>
      <c r="G101" s="465">
        <f>(F101)*('Maximum Rates'!$D$9)</f>
        <v>92.5</v>
      </c>
      <c r="H101" s="443"/>
      <c r="I101" s="2344"/>
    </row>
    <row r="102" spans="1:9" ht="13.8" thickBot="1" x14ac:dyDescent="0.3">
      <c r="A102" s="2410" t="s">
        <v>1066</v>
      </c>
      <c r="B102" s="2411"/>
      <c r="C102" s="2411"/>
      <c r="D102" s="2411"/>
      <c r="E102" s="2411"/>
      <c r="F102" s="2411"/>
      <c r="G102" s="2411"/>
      <c r="H102" s="2411"/>
      <c r="I102" s="2360">
        <f>C103+G103</f>
        <v>148</v>
      </c>
    </row>
    <row r="103" spans="1:9" ht="13.8" thickBot="1" x14ac:dyDescent="0.3">
      <c r="A103" s="491" t="s">
        <v>399</v>
      </c>
      <c r="B103" s="614">
        <v>0</v>
      </c>
      <c r="C103" s="466">
        <f>(B103)*('Maximum Rates'!$D$7)</f>
        <v>0</v>
      </c>
      <c r="D103" s="635"/>
      <c r="E103" s="477" t="s">
        <v>398</v>
      </c>
      <c r="F103" s="614">
        <v>2</v>
      </c>
      <c r="G103" s="466">
        <f>(F103)*('Maximum Rates'!$D$9)</f>
        <v>148</v>
      </c>
      <c r="H103" s="99"/>
      <c r="I103" s="2361"/>
    </row>
    <row r="104" spans="1:9" ht="13.8" thickBot="1" x14ac:dyDescent="0.3">
      <c r="A104" s="2376" t="s">
        <v>1067</v>
      </c>
      <c r="B104" s="2377"/>
      <c r="C104" s="2377"/>
      <c r="D104" s="2377"/>
      <c r="E104" s="2377"/>
      <c r="F104" s="2377"/>
      <c r="G104" s="2377"/>
      <c r="H104" s="2377"/>
      <c r="I104" s="2358">
        <f>C105+G105</f>
        <v>111</v>
      </c>
    </row>
    <row r="105" spans="1:9" ht="13.8" thickBot="1" x14ac:dyDescent="0.3">
      <c r="A105" s="492" t="s">
        <v>399</v>
      </c>
      <c r="B105" s="614">
        <v>0</v>
      </c>
      <c r="C105" s="467">
        <f>(B105)*('Maximum Rates'!$D$7)</f>
        <v>0</v>
      </c>
      <c r="D105" s="647"/>
      <c r="E105" s="493" t="s">
        <v>398</v>
      </c>
      <c r="F105" s="614">
        <v>1.5</v>
      </c>
      <c r="G105" s="467">
        <f>(F105)*('Maximum Rates'!$D$9)</f>
        <v>111</v>
      </c>
      <c r="H105" s="98"/>
      <c r="I105" s="2359"/>
    </row>
    <row r="106" spans="1:9" ht="13.8" thickBot="1" x14ac:dyDescent="0.3">
      <c r="A106" s="2408" t="s">
        <v>1068</v>
      </c>
      <c r="B106" s="2409"/>
      <c r="C106" s="2409"/>
      <c r="D106" s="2409"/>
      <c r="E106" s="2409"/>
      <c r="F106" s="2409"/>
      <c r="G106" s="2409"/>
      <c r="H106" s="2409"/>
      <c r="I106" s="2356">
        <f>C107+G107</f>
        <v>111</v>
      </c>
    </row>
    <row r="107" spans="1:9" ht="13.8" thickBot="1" x14ac:dyDescent="0.3">
      <c r="A107" s="494" t="s">
        <v>399</v>
      </c>
      <c r="B107" s="614">
        <v>0</v>
      </c>
      <c r="C107" s="468">
        <f>(B107)*('Maximum Rates'!$D$7)</f>
        <v>0</v>
      </c>
      <c r="D107" s="636"/>
      <c r="E107" s="481" t="s">
        <v>398</v>
      </c>
      <c r="F107" s="614">
        <v>1.5</v>
      </c>
      <c r="G107" s="468">
        <f>(F107)*('Maximum Rates'!$D$9)</f>
        <v>111</v>
      </c>
      <c r="H107" s="100"/>
      <c r="I107" s="2357"/>
    </row>
    <row r="108" spans="1:9" ht="13.8" thickBot="1" x14ac:dyDescent="0.3">
      <c r="A108" s="2406" t="s">
        <v>1071</v>
      </c>
      <c r="B108" s="2407"/>
      <c r="C108" s="2407"/>
      <c r="D108" s="2407"/>
      <c r="E108" s="2407"/>
      <c r="F108" s="2407"/>
      <c r="G108" s="2407"/>
      <c r="H108" s="2407"/>
      <c r="I108" s="2354">
        <f>C109+G109</f>
        <v>204</v>
      </c>
    </row>
    <row r="109" spans="1:9" ht="13.8" thickBot="1" x14ac:dyDescent="0.3">
      <c r="A109" s="1147" t="s">
        <v>399</v>
      </c>
      <c r="B109" s="613">
        <v>2</v>
      </c>
      <c r="C109" s="447">
        <f>(B109)*('Maximum Rates'!$D$7)</f>
        <v>204</v>
      </c>
      <c r="D109" s="642"/>
      <c r="E109" s="482" t="s">
        <v>398</v>
      </c>
      <c r="F109" s="613">
        <v>0</v>
      </c>
      <c r="G109" s="447">
        <f>(F109)*('Maximum Rates'!$D$9)</f>
        <v>0</v>
      </c>
      <c r="H109" s="449"/>
      <c r="I109" s="2355"/>
    </row>
    <row r="110" spans="1:9" ht="13.8" thickBot="1" x14ac:dyDescent="0.3">
      <c r="A110" s="2390" t="s">
        <v>1072</v>
      </c>
      <c r="B110" s="2391"/>
      <c r="C110" s="2391"/>
      <c r="D110" s="2391"/>
      <c r="E110" s="2391"/>
      <c r="F110" s="2391"/>
      <c r="G110" s="2391"/>
      <c r="H110" s="2391"/>
      <c r="I110" s="2352">
        <f>C111+G111</f>
        <v>102</v>
      </c>
    </row>
    <row r="111" spans="1:9" ht="13.8" thickBot="1" x14ac:dyDescent="0.3">
      <c r="A111" s="495" t="s">
        <v>399</v>
      </c>
      <c r="B111" s="613">
        <v>1</v>
      </c>
      <c r="C111" s="483">
        <f>(B111)*('Maximum Rates'!$D$7)</f>
        <v>102</v>
      </c>
      <c r="D111" s="643"/>
      <c r="E111" s="484" t="s">
        <v>398</v>
      </c>
      <c r="F111" s="613">
        <v>0</v>
      </c>
      <c r="G111" s="483">
        <f>(F111)*('Maximum Rates'!$D$9)</f>
        <v>0</v>
      </c>
      <c r="H111" s="451"/>
      <c r="I111" s="2353"/>
    </row>
    <row r="112" spans="1:9" x14ac:dyDescent="0.25">
      <c r="A112" s="21"/>
      <c r="B112" s="1075"/>
      <c r="C112" s="1076"/>
      <c r="D112" s="1077"/>
      <c r="E112" s="1078"/>
      <c r="F112" s="1075"/>
      <c r="G112" s="1076"/>
      <c r="I112" s="1079"/>
    </row>
    <row r="113" spans="1:9" ht="13.8" thickBot="1" x14ac:dyDescent="0.3">
      <c r="A113" s="2412" t="s">
        <v>634</v>
      </c>
      <c r="B113" s="2413"/>
      <c r="C113" s="2413"/>
      <c r="D113" s="2413"/>
      <c r="E113" s="2413"/>
      <c r="F113" s="2413"/>
      <c r="G113" s="2413"/>
      <c r="H113" s="2413"/>
      <c r="I113" s="2394">
        <f>C114+G114</f>
        <v>918</v>
      </c>
    </row>
    <row r="114" spans="1:9" ht="13.8" thickBot="1" x14ac:dyDescent="0.3">
      <c r="A114" s="1080" t="s">
        <v>399</v>
      </c>
      <c r="B114" s="1081">
        <v>9</v>
      </c>
      <c r="C114" s="1082">
        <f>(B114)*('Maximum Rates'!$D$7)</f>
        <v>918</v>
      </c>
      <c r="D114" s="1083"/>
      <c r="E114" s="1084" t="s">
        <v>398</v>
      </c>
      <c r="F114" s="1081"/>
      <c r="G114" s="1082">
        <f>(F114)*('Maximum Rates'!$D$9)</f>
        <v>0</v>
      </c>
      <c r="H114" s="1085"/>
      <c r="I114" s="2395"/>
    </row>
    <row r="115" spans="1:9" ht="13.8" thickBot="1" x14ac:dyDescent="0.3">
      <c r="A115" s="2390" t="s">
        <v>1069</v>
      </c>
      <c r="B115" s="2391"/>
      <c r="C115" s="2391"/>
      <c r="D115" s="2391"/>
      <c r="E115" s="2391"/>
      <c r="F115" s="2391"/>
      <c r="G115" s="2391"/>
      <c r="H115" s="2391"/>
      <c r="I115" s="2352">
        <f>C116+G116</f>
        <v>4528</v>
      </c>
    </row>
    <row r="116" spans="1:9" ht="13.8" thickBot="1" x14ac:dyDescent="0.3">
      <c r="A116" s="495" t="s">
        <v>373</v>
      </c>
      <c r="B116" s="614">
        <v>8</v>
      </c>
      <c r="C116" s="483">
        <f>('Maximum Rates'!D5)*B116</f>
        <v>976</v>
      </c>
      <c r="D116" s="643"/>
      <c r="E116" s="484" t="s">
        <v>398</v>
      </c>
      <c r="F116" s="614">
        <v>48</v>
      </c>
      <c r="G116" s="483">
        <f>(F116)*('Maximum Rates'!$D$9)</f>
        <v>3552</v>
      </c>
      <c r="H116" s="451"/>
      <c r="I116" s="2353"/>
    </row>
    <row r="117" spans="1:9" ht="13.8" thickBot="1" x14ac:dyDescent="0.3">
      <c r="A117" s="2388" t="s">
        <v>521</v>
      </c>
      <c r="B117" s="2389"/>
      <c r="C117" s="2389"/>
      <c r="D117" s="2389"/>
      <c r="E117" s="2389"/>
      <c r="F117" s="2389"/>
      <c r="G117" s="2389"/>
      <c r="H117" s="2389"/>
      <c r="I117" s="2380">
        <f>C118+G118</f>
        <v>2264</v>
      </c>
    </row>
    <row r="118" spans="1:9" ht="13.8" thickBot="1" x14ac:dyDescent="0.3">
      <c r="A118" s="496" t="s">
        <v>373</v>
      </c>
      <c r="B118" s="613">
        <v>4</v>
      </c>
      <c r="C118" s="497">
        <f>('Maximum Rates'!D5)*B118</f>
        <v>488</v>
      </c>
      <c r="D118" s="644"/>
      <c r="E118" s="485" t="s">
        <v>398</v>
      </c>
      <c r="F118" s="613">
        <v>24</v>
      </c>
      <c r="G118" s="497">
        <f>(F118)*('Maximum Rates'!$D$9)</f>
        <v>1776</v>
      </c>
      <c r="H118" s="461"/>
      <c r="I118" s="2381"/>
    </row>
    <row r="119" spans="1:9" ht="13.8" thickBot="1" x14ac:dyDescent="0.3">
      <c r="A119" s="2386" t="s">
        <v>1070</v>
      </c>
      <c r="B119" s="2387"/>
      <c r="C119" s="2387"/>
      <c r="D119" s="2387"/>
      <c r="E119" s="2387"/>
      <c r="F119" s="2387"/>
      <c r="G119" s="2387"/>
      <c r="H119" s="2387"/>
      <c r="I119" s="2378">
        <f>C120+G120</f>
        <v>5712</v>
      </c>
    </row>
    <row r="120" spans="1:9" ht="13.8" thickBot="1" x14ac:dyDescent="0.3">
      <c r="A120" s="498" t="s">
        <v>373</v>
      </c>
      <c r="B120" s="613">
        <v>8</v>
      </c>
      <c r="C120" s="499">
        <f>('Maximum Rates'!D5)*B120</f>
        <v>976</v>
      </c>
      <c r="D120" s="645"/>
      <c r="E120" s="486" t="s">
        <v>398</v>
      </c>
      <c r="F120" s="613">
        <v>64</v>
      </c>
      <c r="G120" s="499">
        <f>(F120)*('Maximum Rates'!$D$9)</f>
        <v>4736</v>
      </c>
      <c r="H120" s="464"/>
      <c r="I120" s="2379"/>
    </row>
    <row r="121" spans="1:9" ht="13.8" thickBot="1" x14ac:dyDescent="0.3">
      <c r="A121" s="2345" t="s">
        <v>59</v>
      </c>
      <c r="B121" s="2346"/>
      <c r="C121" s="2346"/>
      <c r="D121" s="2346"/>
      <c r="E121" s="2346"/>
      <c r="F121" s="2346"/>
      <c r="G121" s="2346"/>
      <c r="H121" s="2346"/>
      <c r="I121" s="2343">
        <f>C122+G122</f>
        <v>2856</v>
      </c>
    </row>
    <row r="122" spans="1:9" ht="13.8" thickBot="1" x14ac:dyDescent="0.3">
      <c r="A122" s="500" t="s">
        <v>373</v>
      </c>
      <c r="B122" s="613">
        <v>4</v>
      </c>
      <c r="C122" s="442">
        <f>('Maximum Rates'!D5)*B122</f>
        <v>488</v>
      </c>
      <c r="D122" s="637"/>
      <c r="E122" s="89" t="s">
        <v>398</v>
      </c>
      <c r="F122" s="613">
        <v>32</v>
      </c>
      <c r="G122" s="442">
        <f>(F122)*('Maximum Rates'!$D$9)</f>
        <v>2368</v>
      </c>
      <c r="H122" s="443"/>
      <c r="I122" s="2344"/>
    </row>
    <row r="123" spans="1:9" ht="13.8" thickBot="1" x14ac:dyDescent="0.3">
      <c r="A123" s="2345" t="s">
        <v>1096</v>
      </c>
      <c r="B123" s="2346"/>
      <c r="C123" s="2346"/>
      <c r="D123" s="2346"/>
      <c r="E123" s="2346"/>
      <c r="F123" s="2346"/>
      <c r="G123" s="2346"/>
      <c r="H123" s="2346"/>
      <c r="I123" s="2343">
        <f>C124+G124</f>
        <v>306</v>
      </c>
    </row>
    <row r="124" spans="1:9" ht="13.8" thickBot="1" x14ac:dyDescent="0.3">
      <c r="A124" s="500" t="s">
        <v>1099</v>
      </c>
      <c r="B124" s="613">
        <v>3</v>
      </c>
      <c r="C124" s="442">
        <f>('Maximum Rates'!D7)*B124</f>
        <v>306</v>
      </c>
      <c r="D124" s="637"/>
      <c r="E124" s="89" t="s">
        <v>398</v>
      </c>
      <c r="F124" s="613"/>
      <c r="G124" s="442">
        <f>(F124)*('Maximum Rates'!$D$9)</f>
        <v>0</v>
      </c>
      <c r="H124" s="443"/>
      <c r="I124" s="2344"/>
    </row>
    <row r="125" spans="1:9" ht="13.8" thickBot="1" x14ac:dyDescent="0.3">
      <c r="A125" s="2345" t="s">
        <v>1097</v>
      </c>
      <c r="B125" s="2346"/>
      <c r="C125" s="2346"/>
      <c r="D125" s="2346"/>
      <c r="E125" s="2346"/>
      <c r="F125" s="2346"/>
      <c r="G125" s="2346"/>
      <c r="H125" s="2346"/>
      <c r="I125" s="2347">
        <f>C126+G126</f>
        <v>153</v>
      </c>
    </row>
    <row r="126" spans="1:9" ht="13.8" thickBot="1" x14ac:dyDescent="0.3">
      <c r="A126" s="500" t="s">
        <v>1099</v>
      </c>
      <c r="B126" s="613">
        <v>1.5</v>
      </c>
      <c r="C126" s="442">
        <f>('Maximum Rates'!D7)*B126</f>
        <v>153</v>
      </c>
      <c r="D126" s="637"/>
      <c r="E126" s="89" t="s">
        <v>398</v>
      </c>
      <c r="F126" s="613"/>
      <c r="G126" s="442">
        <f>(F126)*('Maximum Rates'!$D$9)</f>
        <v>0</v>
      </c>
      <c r="H126" s="443"/>
      <c r="I126" s="2348"/>
    </row>
    <row r="127" spans="1:9" ht="13.8" thickBot="1" x14ac:dyDescent="0.3">
      <c r="A127" s="2345" t="s">
        <v>1098</v>
      </c>
      <c r="B127" s="2346"/>
      <c r="C127" s="2346"/>
      <c r="D127" s="2346"/>
      <c r="E127" s="2346"/>
      <c r="F127" s="2346"/>
      <c r="G127" s="2346"/>
      <c r="H127" s="2346"/>
      <c r="I127" s="2343">
        <f>C128+G128</f>
        <v>102</v>
      </c>
    </row>
    <row r="128" spans="1:9" ht="13.8" thickBot="1" x14ac:dyDescent="0.3">
      <c r="A128" s="500" t="s">
        <v>1099</v>
      </c>
      <c r="B128" s="944">
        <v>1</v>
      </c>
      <c r="C128" s="442">
        <f>('Maximum Rates'!D7)*B128</f>
        <v>102</v>
      </c>
      <c r="D128" s="637"/>
      <c r="E128" s="89" t="s">
        <v>398</v>
      </c>
      <c r="F128" s="613"/>
      <c r="G128" s="442">
        <f>(F128)*('Maximum Rates'!$D$9)</f>
        <v>0</v>
      </c>
      <c r="H128" s="443"/>
      <c r="I128" s="2344"/>
    </row>
    <row r="129" spans="1:19" ht="13.8" thickBot="1" x14ac:dyDescent="0.3">
      <c r="A129"/>
      <c r="B129"/>
      <c r="C129"/>
      <c r="D129"/>
      <c r="E129"/>
      <c r="F129"/>
      <c r="G129"/>
      <c r="H129"/>
      <c r="I129"/>
    </row>
    <row r="130" spans="1:19" ht="25.95" customHeight="1" thickBot="1" x14ac:dyDescent="0.3">
      <c r="A130" s="2400" t="s">
        <v>821</v>
      </c>
      <c r="B130" s="2401"/>
      <c r="C130" s="590">
        <f>SUM(C131:C133)</f>
        <v>10212</v>
      </c>
      <c r="D130" s="662"/>
      <c r="E130" s="661"/>
      <c r="F130" s="2398" t="s">
        <v>484</v>
      </c>
      <c r="G130" s="2399"/>
      <c r="H130" s="2399"/>
      <c r="I130" s="589">
        <f>SUM(I131:I133)</f>
        <v>1952</v>
      </c>
    </row>
    <row r="131" spans="1:19" x14ac:dyDescent="0.25">
      <c r="A131" s="135" t="s">
        <v>373</v>
      </c>
      <c r="B131" s="501">
        <v>16</v>
      </c>
      <c r="C131" s="575">
        <f>('Maximum Rates'!D5)*B131</f>
        <v>1952</v>
      </c>
      <c r="D131" s="648"/>
      <c r="F131" s="20" t="s">
        <v>373</v>
      </c>
      <c r="G131" s="21"/>
      <c r="H131" s="501">
        <v>16</v>
      </c>
      <c r="I131" s="575">
        <f>('Maximum Rates'!D5)*H131</f>
        <v>1952</v>
      </c>
    </row>
    <row r="132" spans="1:19" ht="15.75" customHeight="1" x14ac:dyDescent="0.25">
      <c r="A132" s="136" t="s">
        <v>357</v>
      </c>
      <c r="B132" s="502">
        <v>8</v>
      </c>
      <c r="C132" s="575">
        <f>('Maximum Rates'!D6)*B132</f>
        <v>1120</v>
      </c>
      <c r="D132" s="648"/>
      <c r="F132" s="12" t="s">
        <v>357</v>
      </c>
      <c r="H132" s="612"/>
      <c r="I132" s="575">
        <f>('Maximum Rates'!D6)*H132</f>
        <v>0</v>
      </c>
    </row>
    <row r="133" spans="1:19" ht="15.75" customHeight="1" thickBot="1" x14ac:dyDescent="0.3">
      <c r="A133" s="137" t="s">
        <v>822</v>
      </c>
      <c r="B133" s="101">
        <v>70</v>
      </c>
      <c r="C133" s="576">
        <f>('Maximum Rates'!$D$7)*B133</f>
        <v>7140</v>
      </c>
      <c r="D133" s="648"/>
      <c r="F133" s="18" t="s">
        <v>398</v>
      </c>
      <c r="G133" s="43"/>
      <c r="H133" s="101"/>
      <c r="I133" s="576">
        <f>('Maximum Rates'!D10)*H133</f>
        <v>0</v>
      </c>
    </row>
    <row r="134" spans="1:19" ht="15.75" customHeight="1" thickBot="1" x14ac:dyDescent="0.3">
      <c r="A134" s="21"/>
      <c r="B134" s="578"/>
      <c r="H134" s="578"/>
      <c r="I134" s="577"/>
    </row>
    <row r="135" spans="1:19" ht="25.95" customHeight="1" thickBot="1" x14ac:dyDescent="0.3">
      <c r="A135" s="2402" t="s">
        <v>1074</v>
      </c>
      <c r="B135" s="2403"/>
      <c r="C135" s="590">
        <f>SUM(C136:C138)</f>
        <v>1142</v>
      </c>
      <c r="D135" s="662"/>
      <c r="F135" s="2404" t="s">
        <v>1440</v>
      </c>
      <c r="G135" s="2405"/>
      <c r="H135" s="2405"/>
      <c r="I135" s="1148">
        <f>SUM(I136:I138)</f>
        <v>1212</v>
      </c>
    </row>
    <row r="136" spans="1:19" ht="15.75" customHeight="1" x14ac:dyDescent="0.25">
      <c r="A136" s="135" t="s">
        <v>373</v>
      </c>
      <c r="B136" s="501">
        <v>1</v>
      </c>
      <c r="C136" s="591">
        <f>('Maximum Rates'!D5)*B136</f>
        <v>122</v>
      </c>
      <c r="D136" s="648"/>
      <c r="F136" s="12" t="s">
        <v>373</v>
      </c>
      <c r="H136" s="615">
        <v>1</v>
      </c>
      <c r="I136" s="575">
        <f>('Maximum Rates'!D5)*H136</f>
        <v>122</v>
      </c>
    </row>
    <row r="137" spans="1:19" ht="15.75" customHeight="1" x14ac:dyDescent="0.25">
      <c r="A137" s="136" t="s">
        <v>357</v>
      </c>
      <c r="B137" s="502"/>
      <c r="C137" s="575">
        <f>('Maximum Rates'!D6)*B137</f>
        <v>0</v>
      </c>
      <c r="D137" s="648"/>
      <c r="F137" s="12" t="s">
        <v>357</v>
      </c>
      <c r="H137" s="612">
        <v>0.5</v>
      </c>
      <c r="I137" s="575">
        <f>('Maximum Rates'!D6)*H137</f>
        <v>70</v>
      </c>
    </row>
    <row r="138" spans="1:19" ht="15.75" customHeight="1" thickBot="1" x14ac:dyDescent="0.3">
      <c r="A138" s="18" t="s">
        <v>822</v>
      </c>
      <c r="B138" s="101">
        <v>10</v>
      </c>
      <c r="C138" s="576">
        <f>('Maximum Rates'!D7)*B138</f>
        <v>1020</v>
      </c>
      <c r="D138" s="648"/>
      <c r="F138" s="18" t="s">
        <v>1073</v>
      </c>
      <c r="G138" s="43"/>
      <c r="H138" s="616">
        <v>10</v>
      </c>
      <c r="I138" s="576">
        <f>('Maximum Rates'!D7)*H138</f>
        <v>1020</v>
      </c>
    </row>
    <row r="139" spans="1:19" ht="15.75" customHeight="1" thickBot="1" x14ac:dyDescent="0.3">
      <c r="A139" s="133"/>
    </row>
    <row r="140" spans="1:19" ht="27.6" customHeight="1" thickBot="1" x14ac:dyDescent="0.3">
      <c r="A140" s="1528" t="s">
        <v>1297</v>
      </c>
      <c r="B140" s="1529"/>
      <c r="C140" s="590">
        <f>SUM(C141:C143)</f>
        <v>1440</v>
      </c>
    </row>
    <row r="141" spans="1:19" ht="16.5" customHeight="1" x14ac:dyDescent="0.25">
      <c r="A141" s="135" t="s">
        <v>357</v>
      </c>
      <c r="B141" s="501">
        <v>3</v>
      </c>
      <c r="C141" s="591">
        <f>('Maximum Rates'!D6*B141)</f>
        <v>420</v>
      </c>
      <c r="D141" s="503"/>
      <c r="E141" s="504"/>
      <c r="F141" s="503"/>
      <c r="G141" s="503"/>
      <c r="H141" s="504"/>
      <c r="I141" s="503"/>
      <c r="J141" s="943"/>
      <c r="K141" s="503"/>
      <c r="L141" s="504"/>
      <c r="M141" s="503"/>
      <c r="N141" s="504"/>
      <c r="O141" s="503"/>
      <c r="P141" s="504"/>
      <c r="Q141" s="503"/>
      <c r="R141" s="504"/>
      <c r="S141" s="503"/>
    </row>
    <row r="142" spans="1:19" ht="20.399999999999999" customHeight="1" x14ac:dyDescent="0.25">
      <c r="A142" s="1530" t="s">
        <v>1299</v>
      </c>
      <c r="B142" s="1522"/>
      <c r="C142" s="575"/>
    </row>
    <row r="143" spans="1:19" ht="13.8" thickBot="1" x14ac:dyDescent="0.3">
      <c r="A143" s="18" t="s">
        <v>822</v>
      </c>
      <c r="B143" s="101">
        <v>10</v>
      </c>
      <c r="C143" s="576">
        <f>('Maximum Rates'!D7*B143)</f>
        <v>1020</v>
      </c>
    </row>
  </sheetData>
  <sheetProtection algorithmName="SHA-512" hashValue="rUwW7J0lhBsyaTbmbSv4ZpWNw1IZXy3bXDl2/swvi29r2BwLv5WgbW2fH9ioxWhgF7W/WXXghuu50DTJDhLB0A==" saltValue="fX74ZtxQaJMtfbGl4lVsQg==" spinCount="100000" sheet="1" objects="1" scenarios="1" selectLockedCells="1"/>
  <customSheetViews>
    <customSheetView guid="{BC429C65-53B8-4F97-88D2-74ECCD734800}" scale="90" showGridLines="0" showRowCol="0" state="hidden">
      <pane ySplit="5" topLeftCell="A35" activePane="bottomLeft" state="frozen"/>
      <selection pane="bottomLeft" activeCell="D4" sqref="D4:L4"/>
      <rowBreaks count="1" manualBreakCount="1">
        <brk id="57" min="1" max="8" man="1"/>
      </rowBreaks>
      <pageMargins left="0.15" right="0.15" top="0.5" bottom="0.15" header="0.5" footer="0.18"/>
      <printOptions horizontalCentered="1"/>
      <pageSetup scale="98" orientation="portrait" r:id="rId1"/>
      <headerFooter alignWithMargins="0"/>
    </customSheetView>
  </customSheetViews>
  <mergeCells count="113">
    <mergeCell ref="F130:H130"/>
    <mergeCell ref="A130:B130"/>
    <mergeCell ref="A135:B135"/>
    <mergeCell ref="F135:H135"/>
    <mergeCell ref="A108:H108"/>
    <mergeCell ref="A106:H106"/>
    <mergeCell ref="A104:H104"/>
    <mergeCell ref="A102:H102"/>
    <mergeCell ref="A100:H100"/>
    <mergeCell ref="A121:H121"/>
    <mergeCell ref="A119:H119"/>
    <mergeCell ref="A117:H117"/>
    <mergeCell ref="A115:H115"/>
    <mergeCell ref="A113:H113"/>
    <mergeCell ref="A110:H110"/>
    <mergeCell ref="A123:H123"/>
    <mergeCell ref="A66:H66"/>
    <mergeCell ref="A96:H96"/>
    <mergeCell ref="A94:H94"/>
    <mergeCell ref="A90:H90"/>
    <mergeCell ref="A98:H98"/>
    <mergeCell ref="I121:I122"/>
    <mergeCell ref="I119:I120"/>
    <mergeCell ref="I117:I118"/>
    <mergeCell ref="I115:I116"/>
    <mergeCell ref="I113:I114"/>
    <mergeCell ref="I110:I111"/>
    <mergeCell ref="I108:I109"/>
    <mergeCell ref="I106:I107"/>
    <mergeCell ref="I90:I91"/>
    <mergeCell ref="I88:I89"/>
    <mergeCell ref="I86:I87"/>
    <mergeCell ref="I104:I105"/>
    <mergeCell ref="I102:I103"/>
    <mergeCell ref="I100:I101"/>
    <mergeCell ref="I98:I99"/>
    <mergeCell ref="I96:I97"/>
    <mergeCell ref="I94:I95"/>
    <mergeCell ref="A64:H64"/>
    <mergeCell ref="A62:H62"/>
    <mergeCell ref="A60:H60"/>
    <mergeCell ref="A58:H58"/>
    <mergeCell ref="I64:I65"/>
    <mergeCell ref="A69:I69"/>
    <mergeCell ref="A88:H88"/>
    <mergeCell ref="A86:H86"/>
    <mergeCell ref="A84:H84"/>
    <mergeCell ref="A82:H82"/>
    <mergeCell ref="A80:H80"/>
    <mergeCell ref="A76:H76"/>
    <mergeCell ref="A74:H74"/>
    <mergeCell ref="A79:I79"/>
    <mergeCell ref="A72:H72"/>
    <mergeCell ref="A70:H70"/>
    <mergeCell ref="I66:I67"/>
    <mergeCell ref="I76:I77"/>
    <mergeCell ref="I74:I75"/>
    <mergeCell ref="I72:I73"/>
    <mergeCell ref="I70:I71"/>
    <mergeCell ref="I84:I85"/>
    <mergeCell ref="I82:I83"/>
    <mergeCell ref="I80:I81"/>
    <mergeCell ref="A35:I35"/>
    <mergeCell ref="I62:I63"/>
    <mergeCell ref="I60:I61"/>
    <mergeCell ref="I58:I59"/>
    <mergeCell ref="I44:I45"/>
    <mergeCell ref="I42:I43"/>
    <mergeCell ref="I40:I41"/>
    <mergeCell ref="I38:I39"/>
    <mergeCell ref="I36:I37"/>
    <mergeCell ref="A44:H44"/>
    <mergeCell ref="A42:H42"/>
    <mergeCell ref="A40:H40"/>
    <mergeCell ref="A38:H38"/>
    <mergeCell ref="A36:H36"/>
    <mergeCell ref="A57:I57"/>
    <mergeCell ref="A22:H22"/>
    <mergeCell ref="A24:H24"/>
    <mergeCell ref="I32:I33"/>
    <mergeCell ref="I30:I31"/>
    <mergeCell ref="I28:I29"/>
    <mergeCell ref="I26:I27"/>
    <mergeCell ref="I24:I25"/>
    <mergeCell ref="I22:I23"/>
    <mergeCell ref="A26:H26"/>
    <mergeCell ref="A28:H28"/>
    <mergeCell ref="A30:H30"/>
    <mergeCell ref="A32:H32"/>
    <mergeCell ref="I123:I124"/>
    <mergeCell ref="A125:H125"/>
    <mergeCell ref="I125:I126"/>
    <mergeCell ref="A127:H127"/>
    <mergeCell ref="I127:I128"/>
    <mergeCell ref="A1:I1"/>
    <mergeCell ref="A2:I2"/>
    <mergeCell ref="A17:I17"/>
    <mergeCell ref="I4:I5"/>
    <mergeCell ref="I14:I15"/>
    <mergeCell ref="I12:I13"/>
    <mergeCell ref="I10:I11"/>
    <mergeCell ref="I8:I9"/>
    <mergeCell ref="I6:I7"/>
    <mergeCell ref="A4:H4"/>
    <mergeCell ref="A6:H6"/>
    <mergeCell ref="A8:H8"/>
    <mergeCell ref="A10:H10"/>
    <mergeCell ref="A12:H12"/>
    <mergeCell ref="A14:H14"/>
    <mergeCell ref="I20:I21"/>
    <mergeCell ref="I18:I19"/>
    <mergeCell ref="A18:H18"/>
    <mergeCell ref="A20:H20"/>
  </mergeCells>
  <phoneticPr fontId="4" type="noConversion"/>
  <printOptions horizontalCentered="1"/>
  <pageMargins left="0.25" right="0.25" top="0.75" bottom="0.25" header="0.17" footer="0.5"/>
  <pageSetup orientation="portrait" r:id="rId2"/>
  <headerFooter alignWithMargins="0">
    <oddHeader>&amp;C&amp;18Units for Field Tasks</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79998168889431442"/>
  </sheetPr>
  <dimension ref="A1:M112"/>
  <sheetViews>
    <sheetView showGridLines="0" showRowColHeaders="0" showRuler="0" view="pageLayout" zoomScaleNormal="90" workbookViewId="0">
      <selection activeCell="D5" sqref="D5"/>
    </sheetView>
  </sheetViews>
  <sheetFormatPr defaultColWidth="5.33203125" defaultRowHeight="13.2" x14ac:dyDescent="0.25"/>
  <cols>
    <col min="1" max="11" width="8.5546875" style="44" customWidth="1"/>
    <col min="12" max="12" width="8.5546875" style="827" customWidth="1"/>
    <col min="13" max="13" width="10.44140625" style="26" customWidth="1"/>
    <col min="14" max="16384" width="5.33203125" style="44"/>
  </cols>
  <sheetData>
    <row r="1" spans="1:12" ht="18" customHeight="1" x14ac:dyDescent="0.25">
      <c r="A1" s="875" t="s">
        <v>1152</v>
      </c>
      <c r="B1" s="876"/>
      <c r="C1" s="876"/>
      <c r="D1" s="876"/>
      <c r="E1" s="876"/>
      <c r="F1" s="876"/>
      <c r="G1" s="876"/>
      <c r="H1" s="876"/>
      <c r="I1" s="876"/>
      <c r="J1" s="876"/>
      <c r="K1" s="876"/>
      <c r="L1" s="877"/>
    </row>
    <row r="2" spans="1:12" ht="12.15" customHeight="1" thickBot="1" x14ac:dyDescent="0.3">
      <c r="A2" s="51"/>
      <c r="K2" s="827"/>
      <c r="L2" s="864"/>
    </row>
    <row r="3" spans="1:12" ht="12.15" customHeight="1" thickBot="1" x14ac:dyDescent="0.3">
      <c r="A3" s="12" t="s">
        <v>453</v>
      </c>
      <c r="B3" s="2"/>
      <c r="C3" s="44" t="s">
        <v>216</v>
      </c>
      <c r="J3" s="8">
        <f>'Maximum Rates'!D5</f>
        <v>122</v>
      </c>
      <c r="K3" s="870">
        <v>10</v>
      </c>
      <c r="L3" s="864">
        <f>(J3*K3)</f>
        <v>1220</v>
      </c>
    </row>
    <row r="4" spans="1:12" ht="12.15" customHeight="1" x14ac:dyDescent="0.25">
      <c r="A4" s="51"/>
      <c r="C4" s="44" t="s">
        <v>88</v>
      </c>
      <c r="J4" s="8"/>
      <c r="K4" s="827"/>
      <c r="L4" s="864"/>
    </row>
    <row r="5" spans="1:12" ht="12.15" customHeight="1" x14ac:dyDescent="0.25">
      <c r="A5" s="51"/>
      <c r="C5" s="44" t="s">
        <v>217</v>
      </c>
      <c r="J5" s="8"/>
      <c r="K5" s="827"/>
      <c r="L5" s="864"/>
    </row>
    <row r="6" spans="1:12" ht="12.15" customHeight="1" thickBot="1" x14ac:dyDescent="0.3">
      <c r="A6" s="51"/>
      <c r="C6" s="44" t="s">
        <v>21</v>
      </c>
      <c r="J6" s="8"/>
      <c r="K6" s="827"/>
      <c r="L6" s="864"/>
    </row>
    <row r="7" spans="1:12" ht="12.15" customHeight="1" thickBot="1" x14ac:dyDescent="0.3">
      <c r="A7" s="12" t="s">
        <v>454</v>
      </c>
      <c r="B7" s="2"/>
      <c r="C7" s="44" t="s">
        <v>451</v>
      </c>
      <c r="J7" s="8">
        <f>'Maximum Rates'!D6</f>
        <v>140</v>
      </c>
      <c r="K7" s="870">
        <v>3</v>
      </c>
      <c r="L7" s="864">
        <f>(J7*K7)</f>
        <v>420</v>
      </c>
    </row>
    <row r="8" spans="1:12" ht="12.15" customHeight="1" thickBot="1" x14ac:dyDescent="0.3">
      <c r="A8" s="51"/>
      <c r="C8" s="44" t="s">
        <v>22</v>
      </c>
      <c r="J8" s="8"/>
      <c r="K8" s="827"/>
      <c r="L8" s="864"/>
    </row>
    <row r="9" spans="1:12" ht="12.15" customHeight="1" thickBot="1" x14ac:dyDescent="0.3">
      <c r="A9" s="12" t="s">
        <v>27</v>
      </c>
      <c r="B9" s="2"/>
      <c r="C9" s="44" t="s">
        <v>449</v>
      </c>
      <c r="J9" s="8">
        <f>'Maximum Rates'!D7</f>
        <v>102</v>
      </c>
      <c r="K9" s="870">
        <v>25</v>
      </c>
      <c r="L9" s="864">
        <f>(J9*K9)</f>
        <v>2550</v>
      </c>
    </row>
    <row r="10" spans="1:12" ht="12.15" customHeight="1" x14ac:dyDescent="0.25">
      <c r="A10" s="12" t="s">
        <v>218</v>
      </c>
      <c r="B10" s="2"/>
      <c r="C10" s="44" t="s">
        <v>450</v>
      </c>
      <c r="J10" s="8"/>
      <c r="K10" s="827"/>
      <c r="L10" s="864"/>
    </row>
    <row r="11" spans="1:12" ht="12.15" customHeight="1" thickBot="1" x14ac:dyDescent="0.3">
      <c r="A11" s="51"/>
      <c r="C11" s="44" t="s">
        <v>22</v>
      </c>
      <c r="J11" s="8"/>
      <c r="K11" s="827"/>
      <c r="L11" s="864"/>
    </row>
    <row r="12" spans="1:12" ht="12.15" customHeight="1" thickBot="1" x14ac:dyDescent="0.3">
      <c r="A12" s="12" t="s">
        <v>456</v>
      </c>
      <c r="B12" s="2"/>
      <c r="C12" s="44" t="s">
        <v>452</v>
      </c>
      <c r="J12" s="8">
        <f>'Maximum Rates'!D10</f>
        <v>74</v>
      </c>
      <c r="K12" s="870">
        <v>16</v>
      </c>
      <c r="L12" s="864">
        <f>(J12*K12)</f>
        <v>1184</v>
      </c>
    </row>
    <row r="13" spans="1:12" ht="12.15" customHeight="1" x14ac:dyDescent="0.25">
      <c r="A13" s="51"/>
      <c r="C13" s="44" t="s">
        <v>397</v>
      </c>
      <c r="J13" s="8"/>
      <c r="K13" s="827"/>
      <c r="L13" s="864"/>
    </row>
    <row r="14" spans="1:12" ht="12.15" customHeight="1" thickBot="1" x14ac:dyDescent="0.3">
      <c r="A14" s="51"/>
      <c r="C14" s="44" t="s">
        <v>22</v>
      </c>
      <c r="J14" s="8"/>
      <c r="K14" s="827"/>
      <c r="L14" s="864"/>
    </row>
    <row r="15" spans="1:12" ht="12.15" customHeight="1" thickBot="1" x14ac:dyDescent="0.3">
      <c r="A15" s="12" t="s">
        <v>457</v>
      </c>
      <c r="B15" s="2"/>
      <c r="C15" s="44" t="s">
        <v>448</v>
      </c>
      <c r="J15" s="8">
        <f>'Maximum Rates'!D11</f>
        <v>60</v>
      </c>
      <c r="K15" s="870">
        <v>6</v>
      </c>
      <c r="L15" s="864">
        <f>(J15*K15)</f>
        <v>360</v>
      </c>
    </row>
    <row r="16" spans="1:12" ht="12.15" customHeight="1" thickBot="1" x14ac:dyDescent="0.3">
      <c r="A16" s="12"/>
      <c r="C16" s="44" t="s">
        <v>21</v>
      </c>
      <c r="J16" s="8"/>
      <c r="K16" s="827"/>
      <c r="L16" s="864"/>
    </row>
    <row r="17" spans="1:12" ht="12.15" customHeight="1" thickBot="1" x14ac:dyDescent="0.3">
      <c r="A17" s="18"/>
      <c r="B17" s="663"/>
      <c r="C17" s="663"/>
      <c r="D17" s="663"/>
      <c r="E17" s="663"/>
      <c r="F17" s="663"/>
      <c r="G17" s="663"/>
      <c r="H17" s="565" t="s">
        <v>428</v>
      </c>
      <c r="I17" s="632"/>
      <c r="J17" s="632"/>
      <c r="K17" s="871"/>
      <c r="L17" s="568">
        <f>SUM(L3:L15)</f>
        <v>5734</v>
      </c>
    </row>
    <row r="18" spans="1:12" ht="12.15" customHeight="1" thickBot="1" x14ac:dyDescent="0.3">
      <c r="A18" s="39"/>
      <c r="H18" s="835"/>
      <c r="I18" s="835"/>
      <c r="J18" s="835"/>
      <c r="K18" s="872"/>
      <c r="L18" s="873"/>
    </row>
    <row r="19" spans="1:12" ht="18" customHeight="1" x14ac:dyDescent="0.25">
      <c r="A19" s="875" t="s">
        <v>445</v>
      </c>
      <c r="B19" s="876"/>
      <c r="C19" s="876"/>
      <c r="D19" s="876"/>
      <c r="E19" s="876"/>
      <c r="F19" s="876"/>
      <c r="G19" s="876"/>
      <c r="H19" s="876"/>
      <c r="I19" s="876"/>
      <c r="J19" s="876"/>
      <c r="K19" s="876"/>
      <c r="L19" s="877"/>
    </row>
    <row r="20" spans="1:12" ht="12.15" customHeight="1" thickBot="1" x14ac:dyDescent="0.3">
      <c r="A20" s="12"/>
      <c r="J20" s="8"/>
      <c r="K20" s="827"/>
      <c r="L20" s="864"/>
    </row>
    <row r="21" spans="1:12" ht="12.15" customHeight="1" thickBot="1" x14ac:dyDescent="0.3">
      <c r="A21" s="12" t="s">
        <v>453</v>
      </c>
      <c r="B21" s="2"/>
      <c r="C21" s="44" t="s">
        <v>504</v>
      </c>
      <c r="J21" s="8">
        <f>'Maximum Rates'!D5</f>
        <v>122</v>
      </c>
      <c r="K21" s="863">
        <v>2</v>
      </c>
      <c r="L21" s="864">
        <f>(J21*K21)</f>
        <v>244</v>
      </c>
    </row>
    <row r="22" spans="1:12" ht="12.15" customHeight="1" thickBot="1" x14ac:dyDescent="0.3">
      <c r="A22" s="12"/>
      <c r="B22" s="2"/>
      <c r="C22" s="44" t="s">
        <v>22</v>
      </c>
      <c r="J22" s="8"/>
      <c r="K22" s="827"/>
      <c r="L22" s="864"/>
    </row>
    <row r="23" spans="1:12" ht="12.15" customHeight="1" thickBot="1" x14ac:dyDescent="0.3">
      <c r="A23" s="12" t="s">
        <v>454</v>
      </c>
      <c r="B23" s="2"/>
      <c r="C23" s="44" t="s">
        <v>503</v>
      </c>
      <c r="J23" s="8">
        <f>'Maximum Rates'!D6</f>
        <v>140</v>
      </c>
      <c r="K23" s="870">
        <v>1</v>
      </c>
      <c r="L23" s="864">
        <f>(J23*K23)</f>
        <v>140</v>
      </c>
    </row>
    <row r="24" spans="1:12" ht="12.15" customHeight="1" thickBot="1" x14ac:dyDescent="0.3">
      <c r="A24" s="12"/>
      <c r="B24" s="2"/>
      <c r="C24" s="44" t="s">
        <v>22</v>
      </c>
      <c r="J24" s="8"/>
      <c r="K24" s="827"/>
      <c r="L24" s="864"/>
    </row>
    <row r="25" spans="1:12" ht="12.15" customHeight="1" thickBot="1" x14ac:dyDescent="0.3">
      <c r="A25" s="12" t="s">
        <v>27</v>
      </c>
      <c r="B25" s="2"/>
      <c r="C25" s="44" t="s">
        <v>438</v>
      </c>
      <c r="J25" s="8">
        <f>'Maximum Rates'!D7</f>
        <v>102</v>
      </c>
      <c r="K25" s="870">
        <v>4</v>
      </c>
      <c r="L25" s="864">
        <f>(J25*K25)</f>
        <v>408</v>
      </c>
    </row>
    <row r="26" spans="1:12" ht="12.15" customHeight="1" x14ac:dyDescent="0.25">
      <c r="A26" s="12" t="s">
        <v>218</v>
      </c>
      <c r="B26" s="2"/>
      <c r="C26" s="44" t="s">
        <v>22</v>
      </c>
      <c r="J26" s="8"/>
      <c r="K26" s="827"/>
      <c r="L26" s="864"/>
    </row>
    <row r="27" spans="1:12" ht="12.15" customHeight="1" thickBot="1" x14ac:dyDescent="0.3">
      <c r="A27" s="12"/>
      <c r="B27" s="2"/>
      <c r="J27" s="8"/>
      <c r="K27" s="827"/>
      <c r="L27" s="864"/>
    </row>
    <row r="28" spans="1:12" ht="12.15" customHeight="1" thickBot="1" x14ac:dyDescent="0.3">
      <c r="A28" s="12" t="s">
        <v>456</v>
      </c>
      <c r="B28" s="2"/>
      <c r="C28" s="44" t="s">
        <v>430</v>
      </c>
      <c r="J28" s="8">
        <f>'Maximum Rates'!D10</f>
        <v>74</v>
      </c>
      <c r="K28" s="870">
        <v>1</v>
      </c>
      <c r="L28" s="864">
        <f>(J28*K28)</f>
        <v>74</v>
      </c>
    </row>
    <row r="29" spans="1:12" ht="12.15" customHeight="1" thickBot="1" x14ac:dyDescent="0.3">
      <c r="A29" s="12"/>
      <c r="B29" s="2"/>
      <c r="C29" s="44" t="s">
        <v>22</v>
      </c>
      <c r="K29" s="827"/>
      <c r="L29" s="864"/>
    </row>
    <row r="30" spans="1:12" ht="12.15" customHeight="1" thickBot="1" x14ac:dyDescent="0.3">
      <c r="A30" s="12" t="s">
        <v>457</v>
      </c>
      <c r="B30" s="2"/>
      <c r="C30" s="44" t="s">
        <v>437</v>
      </c>
      <c r="J30" s="8">
        <f>'Maximum Rates'!D11</f>
        <v>60</v>
      </c>
      <c r="K30" s="870">
        <v>2</v>
      </c>
      <c r="L30" s="864">
        <f>(J30*K30)</f>
        <v>120</v>
      </c>
    </row>
    <row r="31" spans="1:12" ht="12.15" customHeight="1" thickBot="1" x14ac:dyDescent="0.3">
      <c r="A31" s="12"/>
      <c r="B31" s="2"/>
      <c r="C31" s="44" t="s">
        <v>22</v>
      </c>
      <c r="K31" s="827"/>
      <c r="L31" s="864"/>
    </row>
    <row r="32" spans="1:12" ht="12.15" customHeight="1" thickBot="1" x14ac:dyDescent="0.3">
      <c r="A32" s="18"/>
      <c r="B32" s="663"/>
      <c r="C32" s="663"/>
      <c r="D32" s="663"/>
      <c r="E32" s="663"/>
      <c r="F32" s="663"/>
      <c r="G32" s="663"/>
      <c r="H32" s="565" t="s">
        <v>429</v>
      </c>
      <c r="I32" s="632"/>
      <c r="J32" s="632"/>
      <c r="K32" s="871"/>
      <c r="L32" s="568">
        <f>SUM(L21:L30)</f>
        <v>986</v>
      </c>
    </row>
    <row r="33" spans="2:12" ht="12.15" customHeight="1" x14ac:dyDescent="0.25">
      <c r="K33" s="827"/>
      <c r="L33" s="26"/>
    </row>
    <row r="34" spans="2:12" ht="12.15" customHeight="1" x14ac:dyDescent="0.25">
      <c r="B34" s="2"/>
    </row>
    <row r="35" spans="2:12" ht="12.15" customHeight="1" x14ac:dyDescent="0.3">
      <c r="B35" s="45"/>
      <c r="C35" s="16"/>
    </row>
    <row r="36" spans="2:12" ht="12.15" customHeight="1" x14ac:dyDescent="0.25">
      <c r="J36" s="8"/>
      <c r="K36" s="8"/>
    </row>
    <row r="37" spans="2:12" ht="12.15" customHeight="1" x14ac:dyDescent="0.3">
      <c r="B37" s="22"/>
      <c r="K37" s="8"/>
    </row>
    <row r="38" spans="2:12" ht="12.15" customHeight="1" x14ac:dyDescent="0.25">
      <c r="K38" s="8"/>
    </row>
    <row r="39" spans="2:12" ht="12.15" customHeight="1" x14ac:dyDescent="0.25">
      <c r="C39" s="2"/>
      <c r="G39" s="2"/>
      <c r="K39" s="8"/>
    </row>
    <row r="40" spans="2:12" ht="12.15" customHeight="1" x14ac:dyDescent="0.25">
      <c r="K40" s="8"/>
    </row>
    <row r="41" spans="2:12" ht="12.15" customHeight="1" x14ac:dyDescent="0.25">
      <c r="C41" s="2"/>
      <c r="G41" s="2"/>
      <c r="K41" s="8"/>
    </row>
    <row r="42" spans="2:12" ht="12.15" customHeight="1" x14ac:dyDescent="0.25">
      <c r="K42" s="8"/>
    </row>
    <row r="43" spans="2:12" ht="12.15" customHeight="1" x14ac:dyDescent="0.25">
      <c r="C43" s="2"/>
      <c r="G43" s="2"/>
      <c r="K43" s="8"/>
    </row>
    <row r="44" spans="2:12" ht="12.15" customHeight="1" x14ac:dyDescent="0.25">
      <c r="K44" s="8"/>
    </row>
    <row r="45" spans="2:12" ht="12.15" customHeight="1" x14ac:dyDescent="0.25">
      <c r="C45" s="2"/>
      <c r="G45" s="2"/>
      <c r="K45" s="8"/>
    </row>
    <row r="46" spans="2:12" ht="12.15" customHeight="1" x14ac:dyDescent="0.25">
      <c r="K46" s="8"/>
    </row>
    <row r="47" spans="2:12" ht="12.15" customHeight="1" x14ac:dyDescent="0.25">
      <c r="C47" s="2"/>
      <c r="G47" s="2"/>
      <c r="K47" s="8"/>
    </row>
    <row r="48" spans="2:12" ht="12.15" customHeight="1" x14ac:dyDescent="0.25">
      <c r="K48" s="8"/>
    </row>
    <row r="49" spans="3:11" ht="12.15" customHeight="1" x14ac:dyDescent="0.25">
      <c r="C49" s="2"/>
      <c r="G49" s="2"/>
      <c r="K49" s="8"/>
    </row>
    <row r="50" spans="3:11" ht="12.15" customHeight="1" x14ac:dyDescent="0.25">
      <c r="K50" s="8"/>
    </row>
    <row r="51" spans="3:11" ht="12.15" customHeight="1" x14ac:dyDescent="0.25">
      <c r="K51" s="8"/>
    </row>
    <row r="52" spans="3:11" ht="12.15" customHeight="1" x14ac:dyDescent="0.25">
      <c r="C52" s="2"/>
      <c r="G52" s="2"/>
      <c r="K52" s="8"/>
    </row>
    <row r="53" spans="3:11" ht="12.15" customHeight="1" x14ac:dyDescent="0.25">
      <c r="C53" s="2"/>
      <c r="G53" s="2"/>
      <c r="K53" s="8"/>
    </row>
    <row r="54" spans="3:11" ht="12.15" customHeight="1" x14ac:dyDescent="0.25">
      <c r="K54" s="8"/>
    </row>
    <row r="55" spans="3:11" ht="12.15" customHeight="1" x14ac:dyDescent="0.25">
      <c r="C55" s="2"/>
      <c r="G55" s="2"/>
      <c r="K55" s="8"/>
    </row>
    <row r="56" spans="3:11" ht="12.15" customHeight="1" x14ac:dyDescent="0.25">
      <c r="K56" s="8"/>
    </row>
    <row r="57" spans="3:11" ht="12.15" customHeight="1" x14ac:dyDescent="0.25">
      <c r="C57" s="2"/>
      <c r="G57" s="2"/>
      <c r="K57" s="8"/>
    </row>
    <row r="58" spans="3:11" ht="12.15" customHeight="1" x14ac:dyDescent="0.25">
      <c r="K58" s="8"/>
    </row>
    <row r="59" spans="3:11" ht="12.15" customHeight="1" x14ac:dyDescent="0.25">
      <c r="C59" s="2"/>
      <c r="G59" s="2"/>
      <c r="K59" s="8"/>
    </row>
    <row r="60" spans="3:11" ht="12.15" customHeight="1" x14ac:dyDescent="0.25">
      <c r="K60" s="8"/>
    </row>
    <row r="61" spans="3:11" ht="12.15" customHeight="1" x14ac:dyDescent="0.25">
      <c r="C61" s="2"/>
      <c r="G61" s="2"/>
      <c r="K61" s="8"/>
    </row>
    <row r="62" spans="3:11" ht="12.15" customHeight="1" x14ac:dyDescent="0.25">
      <c r="K62" s="8"/>
    </row>
    <row r="63" spans="3:11" ht="12.15" customHeight="1" x14ac:dyDescent="0.25">
      <c r="C63" s="2"/>
      <c r="G63" s="2"/>
      <c r="K63" s="8"/>
    </row>
    <row r="64" spans="3:11" ht="12.15" customHeight="1" x14ac:dyDescent="0.25">
      <c r="K64" s="8"/>
    </row>
    <row r="65" spans="2:11" ht="12.15" customHeight="1" x14ac:dyDescent="0.25">
      <c r="C65" s="2"/>
      <c r="G65" s="2"/>
      <c r="K65" s="8"/>
    </row>
    <row r="66" spans="2:11" ht="12.15" customHeight="1" x14ac:dyDescent="0.25">
      <c r="K66" s="8"/>
    </row>
    <row r="67" spans="2:11" ht="12.15" customHeight="1" x14ac:dyDescent="0.25">
      <c r="C67" s="2"/>
      <c r="G67" s="2"/>
      <c r="K67" s="8"/>
    </row>
    <row r="68" spans="2:11" ht="12.15" customHeight="1" x14ac:dyDescent="0.25">
      <c r="K68" s="8"/>
    </row>
    <row r="69" spans="2:11" ht="12.15" customHeight="1" x14ac:dyDescent="0.25">
      <c r="C69" s="2"/>
      <c r="G69" s="2"/>
      <c r="K69" s="8"/>
    </row>
    <row r="70" spans="2:11" ht="12.15" customHeight="1" x14ac:dyDescent="0.25">
      <c r="C70" s="2"/>
      <c r="G70" s="2"/>
      <c r="K70" s="8"/>
    </row>
    <row r="71" spans="2:11" ht="12.15" customHeight="1" x14ac:dyDescent="0.25">
      <c r="C71" s="2"/>
      <c r="G71" s="2"/>
      <c r="K71" s="8"/>
    </row>
    <row r="72" spans="2:11" ht="12.15" customHeight="1" x14ac:dyDescent="0.25">
      <c r="K72" s="8"/>
    </row>
    <row r="73" spans="2:11" ht="12.15" customHeight="1" x14ac:dyDescent="0.25">
      <c r="C73" s="2"/>
      <c r="G73" s="2"/>
      <c r="K73" s="8"/>
    </row>
    <row r="74" spans="2:11" ht="12.15" customHeight="1" x14ac:dyDescent="0.25">
      <c r="B74" s="2"/>
      <c r="K74" s="8"/>
    </row>
    <row r="75" spans="2:11" ht="12.15" customHeight="1" x14ac:dyDescent="0.25">
      <c r="C75" s="2"/>
      <c r="G75" s="2"/>
      <c r="K75" s="8"/>
    </row>
    <row r="76" spans="2:11" ht="12.15" customHeight="1" x14ac:dyDescent="0.25">
      <c r="K76" s="8"/>
    </row>
    <row r="77" spans="2:11" ht="12.15" customHeight="1" x14ac:dyDescent="0.25">
      <c r="B77" s="2"/>
      <c r="C77" s="2"/>
      <c r="G77" s="2"/>
      <c r="K77" s="550"/>
    </row>
    <row r="78" spans="2:11" ht="12.15" customHeight="1" x14ac:dyDescent="0.25">
      <c r="C78" s="2"/>
      <c r="G78" s="2"/>
      <c r="K78" s="550"/>
    </row>
    <row r="79" spans="2:11" ht="12.15" customHeight="1" x14ac:dyDescent="0.25">
      <c r="C79" s="2"/>
      <c r="G79" s="2"/>
      <c r="K79" s="550"/>
    </row>
    <row r="80" spans="2:11" ht="12.15" customHeight="1" x14ac:dyDescent="0.25">
      <c r="C80" s="2"/>
      <c r="G80" s="2"/>
      <c r="K80" s="550"/>
    </row>
    <row r="81" spans="2:11" ht="12.15" customHeight="1" x14ac:dyDescent="0.25">
      <c r="C81" s="2"/>
      <c r="G81" s="2"/>
      <c r="K81" s="550"/>
    </row>
    <row r="82" spans="2:11" ht="12.15" customHeight="1" x14ac:dyDescent="0.25">
      <c r="B82" s="2"/>
      <c r="C82" s="2"/>
      <c r="G82" s="2"/>
      <c r="K82" s="8"/>
    </row>
    <row r="83" spans="2:11" ht="12.15" customHeight="1" x14ac:dyDescent="0.25">
      <c r="C83" s="2"/>
      <c r="G83" s="2"/>
      <c r="K83" s="550"/>
    </row>
    <row r="84" spans="2:11" ht="12.15" customHeight="1" x14ac:dyDescent="0.25">
      <c r="C84" s="2"/>
      <c r="G84" s="2"/>
      <c r="K84" s="550"/>
    </row>
    <row r="85" spans="2:11" ht="12.15" customHeight="1" x14ac:dyDescent="0.25">
      <c r="B85" s="2"/>
      <c r="C85" s="2"/>
      <c r="G85" s="2"/>
      <c r="K85" s="550"/>
    </row>
    <row r="86" spans="2:11" ht="12.15" customHeight="1" x14ac:dyDescent="0.25">
      <c r="C86" s="2"/>
      <c r="G86" s="2"/>
      <c r="K86" s="550"/>
    </row>
    <row r="87" spans="2:11" ht="12.15" customHeight="1" x14ac:dyDescent="0.25">
      <c r="C87" s="2"/>
      <c r="G87" s="2"/>
      <c r="K87" s="550"/>
    </row>
    <row r="88" spans="2:11" ht="12.15" customHeight="1" x14ac:dyDescent="0.25">
      <c r="C88" s="2"/>
      <c r="G88" s="2"/>
      <c r="K88" s="550"/>
    </row>
    <row r="89" spans="2:11" ht="12.15" customHeight="1" x14ac:dyDescent="0.25">
      <c r="C89" s="2"/>
      <c r="G89" s="2"/>
      <c r="K89" s="550"/>
    </row>
    <row r="90" spans="2:11" ht="12.15" customHeight="1" x14ac:dyDescent="0.25">
      <c r="B90" s="2"/>
      <c r="C90" s="2"/>
      <c r="G90" s="2"/>
      <c r="K90" s="550"/>
    </row>
    <row r="91" spans="2:11" ht="12.15" customHeight="1" x14ac:dyDescent="0.25">
      <c r="C91" s="2"/>
      <c r="G91" s="2"/>
      <c r="K91" s="550"/>
    </row>
    <row r="92" spans="2:11" ht="12.15" customHeight="1" x14ac:dyDescent="0.25">
      <c r="C92" s="2"/>
      <c r="G92" s="2"/>
      <c r="K92" s="874"/>
    </row>
    <row r="93" spans="2:11" ht="12.15" customHeight="1" x14ac:dyDescent="0.25">
      <c r="C93" s="2"/>
      <c r="J93" s="8"/>
    </row>
    <row r="94" spans="2:11" ht="12.15" customHeight="1" x14ac:dyDescent="0.25">
      <c r="G94" s="8"/>
      <c r="J94" s="8"/>
    </row>
    <row r="95" spans="2:11" ht="12.15" customHeight="1" x14ac:dyDescent="0.25">
      <c r="G95" s="8"/>
      <c r="J95" s="8"/>
    </row>
    <row r="96" spans="2:11" ht="12.15" customHeight="1" x14ac:dyDescent="0.25">
      <c r="G96" s="8"/>
      <c r="J96" s="8"/>
    </row>
    <row r="97" spans="3:11" ht="12.15" customHeight="1" x14ac:dyDescent="0.25">
      <c r="G97" s="8"/>
      <c r="J97" s="8"/>
    </row>
    <row r="98" spans="3:11" ht="12.15" customHeight="1" x14ac:dyDescent="0.25">
      <c r="G98" s="8"/>
      <c r="J98" s="8"/>
    </row>
    <row r="99" spans="3:11" ht="12.15" customHeight="1" x14ac:dyDescent="0.25">
      <c r="G99" s="8"/>
      <c r="J99" s="8"/>
    </row>
    <row r="100" spans="3:11" ht="12.15" customHeight="1" x14ac:dyDescent="0.25">
      <c r="G100" s="8"/>
      <c r="J100" s="8"/>
    </row>
    <row r="101" spans="3:11" ht="12.15" customHeight="1" x14ac:dyDescent="0.25">
      <c r="G101" s="8"/>
      <c r="K101" s="8"/>
    </row>
    <row r="102" spans="3:11" ht="12.15" customHeight="1" x14ac:dyDescent="0.25">
      <c r="G102" s="8"/>
      <c r="K102" s="8"/>
    </row>
    <row r="103" spans="3:11" ht="12.15" customHeight="1" x14ac:dyDescent="0.25">
      <c r="C103" s="2"/>
      <c r="K103" s="8"/>
    </row>
    <row r="104" spans="3:11" ht="12.15" customHeight="1" x14ac:dyDescent="0.25">
      <c r="G104" s="8"/>
    </row>
    <row r="105" spans="3:11" ht="12.15" customHeight="1" x14ac:dyDescent="0.25">
      <c r="G105" s="8"/>
    </row>
    <row r="106" spans="3:11" ht="12.15" customHeight="1" x14ac:dyDescent="0.25">
      <c r="G106" s="8"/>
    </row>
    <row r="107" spans="3:11" ht="12.15" customHeight="1" x14ac:dyDescent="0.25">
      <c r="G107" s="8"/>
    </row>
    <row r="108" spans="3:11" ht="12.15" customHeight="1" x14ac:dyDescent="0.25">
      <c r="G108" s="8"/>
    </row>
    <row r="109" spans="3:11" ht="12.15" customHeight="1" x14ac:dyDescent="0.25">
      <c r="G109" s="8"/>
    </row>
    <row r="110" spans="3:11" ht="12.15" customHeight="1" x14ac:dyDescent="0.25">
      <c r="G110" s="8"/>
    </row>
    <row r="111" spans="3:11" ht="12.15" customHeight="1" x14ac:dyDescent="0.25"/>
    <row r="112" spans="3:11" ht="12.15" customHeight="1" x14ac:dyDescent="0.25"/>
  </sheetData>
  <sheetProtection password="DC01" sheet="1" objects="1" scenarios="1" selectLockedCells="1"/>
  <customSheetViews>
    <customSheetView guid="{BC429C65-53B8-4F97-88D2-74ECCD734800}" scale="90" showGridLines="0" showRowCol="0" fitToPage="1" state="hidden">
      <selection activeCell="D4" sqref="D4:L4"/>
      <pageMargins left="0.25" right="0.25" top="1" bottom="0.25" header="0.48" footer="0.5"/>
      <pageSetup fitToHeight="2" orientation="portrait" r:id="rId1"/>
      <headerFooter alignWithMargins="0"/>
    </customSheetView>
  </customSheetViews>
  <phoneticPr fontId="4" type="noConversion"/>
  <printOptions horizontalCentered="1"/>
  <pageMargins left="0.25" right="0.25" top="0.75" bottom="0.25" header="0.17" footer="0.5"/>
  <pageSetup fitToHeight="2" orientation="portrait" r:id="rId2"/>
  <headerFooter alignWithMargins="0">
    <oddHeader>&amp;C&amp;18Units for Preliminary Activities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tabColor theme="3" tint="0.79998168889431442"/>
  </sheetPr>
  <dimension ref="A1:M144"/>
  <sheetViews>
    <sheetView showGridLines="0" showRowColHeaders="0" showRuler="0" view="pageLayout" zoomScaleNormal="90" zoomScaleSheetLayoutView="100" workbookViewId="0">
      <selection activeCell="E8" sqref="E8:I10"/>
    </sheetView>
  </sheetViews>
  <sheetFormatPr defaultColWidth="5.33203125" defaultRowHeight="13.2" x14ac:dyDescent="0.25"/>
  <cols>
    <col min="1" max="2" width="8.5546875" style="44" customWidth="1"/>
    <col min="3" max="4" width="8.5546875" style="827" customWidth="1"/>
    <col min="5" max="5" width="8.6640625" style="44" customWidth="1"/>
    <col min="6" max="6" width="8.5546875" style="44" customWidth="1"/>
    <col min="7" max="8" width="8.5546875" style="827" customWidth="1"/>
    <col min="9" max="10" width="8.5546875" style="44" customWidth="1"/>
    <col min="11" max="12" width="8.5546875" style="827" customWidth="1"/>
    <col min="13" max="13" width="11.44140625" style="26" customWidth="1"/>
    <col min="14" max="16384" width="5.33203125" style="44"/>
  </cols>
  <sheetData>
    <row r="1" spans="1:12" ht="18" customHeight="1" x14ac:dyDescent="0.25">
      <c r="A1" s="875" t="s">
        <v>1153</v>
      </c>
      <c r="B1" s="876"/>
      <c r="C1" s="876"/>
      <c r="D1" s="876"/>
      <c r="E1" s="876"/>
      <c r="F1" s="876"/>
      <c r="G1" s="876"/>
      <c r="H1" s="876"/>
      <c r="I1" s="876"/>
      <c r="J1" s="876"/>
      <c r="K1" s="876"/>
      <c r="L1" s="877"/>
    </row>
    <row r="2" spans="1:12" ht="12.15" customHeight="1" thickBot="1" x14ac:dyDescent="0.3">
      <c r="A2" s="51"/>
      <c r="B2" s="827"/>
      <c r="D2" s="44"/>
      <c r="F2" s="827"/>
      <c r="G2" s="44"/>
      <c r="H2" s="44"/>
      <c r="J2" s="827"/>
      <c r="L2" s="864"/>
    </row>
    <row r="3" spans="1:12" ht="12.15" customHeight="1" thickBot="1" x14ac:dyDescent="0.3">
      <c r="A3" s="12" t="s">
        <v>453</v>
      </c>
      <c r="B3" s="2"/>
      <c r="C3" s="44" t="s">
        <v>458</v>
      </c>
      <c r="D3" s="44"/>
      <c r="G3" s="44"/>
      <c r="H3" s="44"/>
      <c r="J3" s="557">
        <f>'Maximum Rates'!D5</f>
        <v>122</v>
      </c>
      <c r="K3" s="870">
        <v>9</v>
      </c>
      <c r="L3" s="864">
        <f>(J3*K3)</f>
        <v>1098</v>
      </c>
    </row>
    <row r="4" spans="1:12" ht="12.15" customHeight="1" x14ac:dyDescent="0.25">
      <c r="A4" s="51"/>
      <c r="C4" s="44" t="s">
        <v>309</v>
      </c>
      <c r="D4" s="44"/>
      <c r="G4" s="44"/>
      <c r="H4" s="44"/>
      <c r="J4" s="556"/>
      <c r="L4" s="864"/>
    </row>
    <row r="5" spans="1:12" ht="12.15" customHeight="1" x14ac:dyDescent="0.25">
      <c r="A5" s="51"/>
      <c r="C5" s="44" t="s">
        <v>32</v>
      </c>
      <c r="D5" s="44"/>
      <c r="G5" s="44"/>
      <c r="H5" s="44"/>
      <c r="J5" s="556"/>
      <c r="L5" s="864"/>
    </row>
    <row r="6" spans="1:12" ht="12.15" customHeight="1" thickBot="1" x14ac:dyDescent="0.3">
      <c r="A6" s="878"/>
      <c r="B6" s="827"/>
      <c r="C6" s="44" t="s">
        <v>22</v>
      </c>
      <c r="D6" s="44"/>
      <c r="G6" s="44"/>
      <c r="H6" s="44"/>
      <c r="J6" s="556"/>
      <c r="L6" s="864"/>
    </row>
    <row r="7" spans="1:12" ht="12.15" customHeight="1" thickBot="1" x14ac:dyDescent="0.3">
      <c r="A7" s="12" t="s">
        <v>454</v>
      </c>
      <c r="B7" s="2"/>
      <c r="C7" s="44" t="s">
        <v>29</v>
      </c>
      <c r="D7" s="44"/>
      <c r="G7" s="44"/>
      <c r="H7" s="44"/>
      <c r="J7" s="557">
        <f>'Maximum Rates'!D6</f>
        <v>140</v>
      </c>
      <c r="K7" s="870">
        <v>5</v>
      </c>
      <c r="L7" s="864">
        <f>(J7*K7)</f>
        <v>700</v>
      </c>
    </row>
    <row r="8" spans="1:12" ht="12.15" customHeight="1" x14ac:dyDescent="0.25">
      <c r="A8" s="51"/>
      <c r="C8" s="44" t="s">
        <v>31</v>
      </c>
      <c r="D8" s="44"/>
      <c r="G8" s="44"/>
      <c r="H8" s="44"/>
      <c r="J8" s="556"/>
      <c r="L8" s="864"/>
    </row>
    <row r="9" spans="1:12" ht="12.15" customHeight="1" thickBot="1" x14ac:dyDescent="0.3">
      <c r="A9" s="51"/>
      <c r="C9" s="44" t="s">
        <v>22</v>
      </c>
      <c r="D9" s="44"/>
      <c r="G9" s="44"/>
      <c r="H9" s="44"/>
      <c r="J9" s="556"/>
      <c r="L9" s="864"/>
    </row>
    <row r="10" spans="1:12" ht="12.15" customHeight="1" thickBot="1" x14ac:dyDescent="0.3">
      <c r="A10" s="12" t="s">
        <v>455</v>
      </c>
      <c r="B10" s="2"/>
      <c r="C10" s="44" t="s">
        <v>30</v>
      </c>
      <c r="D10" s="44"/>
      <c r="G10" s="44"/>
      <c r="H10" s="44"/>
      <c r="J10" s="557">
        <f>'Maximum Rates'!D7</f>
        <v>102</v>
      </c>
      <c r="K10" s="870">
        <v>32</v>
      </c>
      <c r="L10" s="864">
        <f>(J10*K10)</f>
        <v>3264</v>
      </c>
    </row>
    <row r="11" spans="1:12" ht="12.15" customHeight="1" x14ac:dyDescent="0.25">
      <c r="A11" s="12" t="s">
        <v>218</v>
      </c>
      <c r="B11" s="2"/>
      <c r="C11" s="44" t="s">
        <v>22</v>
      </c>
      <c r="D11" s="44"/>
      <c r="G11" s="44"/>
      <c r="H11" s="44"/>
      <c r="J11" s="556"/>
      <c r="L11" s="864"/>
    </row>
    <row r="12" spans="1:12" ht="12.15" customHeight="1" thickBot="1" x14ac:dyDescent="0.3">
      <c r="A12" s="51"/>
      <c r="C12" s="44"/>
      <c r="D12" s="44"/>
      <c r="G12" s="44"/>
      <c r="H12" s="44"/>
      <c r="J12" s="556"/>
      <c r="L12" s="864"/>
    </row>
    <row r="13" spans="1:12" ht="12.15" customHeight="1" thickBot="1" x14ac:dyDescent="0.3">
      <c r="A13" s="12" t="s">
        <v>456</v>
      </c>
      <c r="B13" s="2"/>
      <c r="C13" s="44" t="s">
        <v>322</v>
      </c>
      <c r="D13" s="44"/>
      <c r="G13" s="44"/>
      <c r="H13" s="44"/>
      <c r="J13" s="557">
        <f>'Maximum Rates'!D10</f>
        <v>74</v>
      </c>
      <c r="K13" s="870">
        <v>16</v>
      </c>
      <c r="L13" s="864">
        <f>(J13*K13)</f>
        <v>1184</v>
      </c>
    </row>
    <row r="14" spans="1:12" ht="12.15" customHeight="1" x14ac:dyDescent="0.25">
      <c r="A14" s="51"/>
      <c r="C14" s="44" t="s">
        <v>397</v>
      </c>
      <c r="D14" s="44"/>
      <c r="G14" s="44"/>
      <c r="H14" s="44"/>
      <c r="J14" s="556"/>
      <c r="L14" s="864"/>
    </row>
    <row r="15" spans="1:12" ht="12.15" customHeight="1" thickBot="1" x14ac:dyDescent="0.3">
      <c r="A15" s="51"/>
      <c r="C15" s="44" t="s">
        <v>22</v>
      </c>
      <c r="D15" s="44"/>
      <c r="G15" s="44"/>
      <c r="H15" s="44"/>
      <c r="J15" s="556"/>
      <c r="L15" s="864"/>
    </row>
    <row r="16" spans="1:12" ht="12.15" customHeight="1" thickBot="1" x14ac:dyDescent="0.3">
      <c r="A16" s="12" t="s">
        <v>457</v>
      </c>
      <c r="B16" s="2"/>
      <c r="C16" s="44" t="s">
        <v>443</v>
      </c>
      <c r="D16" s="44"/>
      <c r="G16" s="44"/>
      <c r="H16" s="44"/>
      <c r="J16" s="557">
        <f>'Maximum Rates'!D11</f>
        <v>60</v>
      </c>
      <c r="K16" s="870">
        <v>6</v>
      </c>
      <c r="L16" s="864">
        <f>(J16*K16)</f>
        <v>360</v>
      </c>
    </row>
    <row r="17" spans="1:12" ht="12.15" customHeight="1" thickBot="1" x14ac:dyDescent="0.3">
      <c r="A17" s="51"/>
      <c r="C17" s="44" t="s">
        <v>22</v>
      </c>
      <c r="D17" s="44"/>
      <c r="G17" s="44"/>
      <c r="H17" s="44"/>
      <c r="J17" s="827"/>
      <c r="L17" s="864"/>
    </row>
    <row r="18" spans="1:12" s="882" customFormat="1" ht="15.6" customHeight="1" thickBot="1" x14ac:dyDescent="0.3">
      <c r="A18" s="879"/>
      <c r="B18" s="880"/>
      <c r="C18" s="880"/>
      <c r="D18" s="881"/>
      <c r="E18" s="881"/>
      <c r="F18" s="880"/>
      <c r="G18" s="628" t="s">
        <v>401</v>
      </c>
      <c r="H18" s="629"/>
      <c r="I18" s="629"/>
      <c r="J18" s="629"/>
      <c r="K18" s="629"/>
      <c r="L18" s="559">
        <f>SUM(L3:L16)</f>
        <v>6606</v>
      </c>
    </row>
    <row r="19" spans="1:12" ht="12.15" customHeight="1" thickBot="1" x14ac:dyDescent="0.3">
      <c r="A19" s="2414"/>
      <c r="B19" s="2414"/>
      <c r="C19" s="2414"/>
      <c r="D19" s="2414"/>
      <c r="E19" s="2414"/>
      <c r="F19" s="2414"/>
      <c r="G19" s="2414"/>
      <c r="H19" s="2414"/>
      <c r="I19" s="2414"/>
      <c r="J19" s="2414"/>
      <c r="K19" s="2414"/>
      <c r="L19" s="2414"/>
    </row>
    <row r="20" spans="1:12" s="882" customFormat="1" ht="13.95" customHeight="1" thickBot="1" x14ac:dyDescent="0.3">
      <c r="A20" s="624" t="s">
        <v>469</v>
      </c>
      <c r="B20" s="625"/>
      <c r="C20" s="625"/>
      <c r="D20" s="625"/>
      <c r="E20" s="883"/>
      <c r="F20" s="884"/>
      <c r="G20" s="628" t="s">
        <v>1047</v>
      </c>
      <c r="H20" s="561"/>
      <c r="I20" s="561"/>
      <c r="J20" s="561"/>
      <c r="K20" s="561"/>
      <c r="L20" s="885">
        <f>SUM(D21+G21)</f>
        <v>176</v>
      </c>
    </row>
    <row r="21" spans="1:12" ht="16.2" customHeight="1" thickBot="1" x14ac:dyDescent="0.3">
      <c r="A21" s="904" t="s">
        <v>608</v>
      </c>
      <c r="B21" s="907"/>
      <c r="C21" s="886">
        <v>1</v>
      </c>
      <c r="D21" s="908">
        <f>(C21)*('Maximum Rates'!$D$7)</f>
        <v>102</v>
      </c>
      <c r="E21" s="906" t="s">
        <v>444</v>
      </c>
      <c r="F21" s="886">
        <v>1</v>
      </c>
      <c r="G21" s="905">
        <f>(F21)*('Maximum Rates'!$D$10)</f>
        <v>74</v>
      </c>
      <c r="H21" s="887"/>
      <c r="I21" s="888"/>
      <c r="J21" s="889"/>
      <c r="K21" s="890"/>
      <c r="L21" s="438"/>
    </row>
    <row r="22" spans="1:12" ht="12.15" customHeight="1" thickBot="1" x14ac:dyDescent="0.3">
      <c r="A22" s="43"/>
      <c r="B22" s="555"/>
      <c r="D22" s="44"/>
      <c r="E22" s="2"/>
      <c r="F22" s="827"/>
      <c r="G22" s="44"/>
      <c r="H22" s="44"/>
      <c r="J22" s="556"/>
      <c r="K22" s="890"/>
      <c r="L22" s="65"/>
    </row>
    <row r="23" spans="1:12" ht="18" customHeight="1" thickBot="1" x14ac:dyDescent="0.3">
      <c r="A23" s="932" t="s">
        <v>293</v>
      </c>
      <c r="B23" s="933"/>
      <c r="C23" s="933"/>
      <c r="D23" s="933"/>
      <c r="E23" s="933"/>
      <c r="F23" s="933"/>
      <c r="G23" s="933"/>
      <c r="H23" s="933"/>
      <c r="I23" s="933"/>
      <c r="J23" s="933"/>
      <c r="K23" s="933"/>
      <c r="L23" s="934"/>
    </row>
    <row r="24" spans="1:12" ht="12.15" customHeight="1" thickBot="1" x14ac:dyDescent="0.3">
      <c r="A24" s="12"/>
      <c r="B24" s="827"/>
      <c r="D24" s="44"/>
      <c r="F24" s="827"/>
      <c r="G24" s="44"/>
      <c r="H24" s="44"/>
      <c r="J24" s="556"/>
      <c r="L24" s="864"/>
    </row>
    <row r="25" spans="1:12" ht="12.15" customHeight="1" thickBot="1" x14ac:dyDescent="0.3">
      <c r="A25" s="12" t="s">
        <v>453</v>
      </c>
      <c r="B25" s="2"/>
      <c r="C25" s="44" t="s">
        <v>1303</v>
      </c>
      <c r="D25" s="44"/>
      <c r="G25" s="44"/>
      <c r="H25" s="44"/>
      <c r="J25" s="557">
        <f>'Maximum Rates'!D5</f>
        <v>122</v>
      </c>
      <c r="K25" s="870">
        <v>1</v>
      </c>
      <c r="L25" s="864">
        <f>(J25*K25)</f>
        <v>122</v>
      </c>
    </row>
    <row r="26" spans="1:12" ht="12.15" customHeight="1" thickBot="1" x14ac:dyDescent="0.3">
      <c r="A26" s="51"/>
      <c r="C26" s="44" t="s">
        <v>22</v>
      </c>
      <c r="D26" s="44"/>
      <c r="G26" s="44"/>
      <c r="H26" s="44"/>
      <c r="J26" s="556"/>
      <c r="L26" s="864"/>
    </row>
    <row r="27" spans="1:12" ht="12.15" customHeight="1" thickBot="1" x14ac:dyDescent="0.3">
      <c r="A27" s="12" t="s">
        <v>454</v>
      </c>
      <c r="B27" s="2"/>
      <c r="C27" s="44" t="s">
        <v>1105</v>
      </c>
      <c r="D27" s="44"/>
      <c r="G27" s="44"/>
      <c r="H27" s="44"/>
      <c r="J27" s="557">
        <f>'Maximum Rates'!D6</f>
        <v>140</v>
      </c>
      <c r="K27" s="870">
        <v>1</v>
      </c>
      <c r="L27" s="864">
        <f>(J27*K27)</f>
        <v>140</v>
      </c>
    </row>
    <row r="28" spans="1:12" ht="12.15" customHeight="1" thickBot="1" x14ac:dyDescent="0.3">
      <c r="A28" s="51"/>
      <c r="C28" s="44" t="s">
        <v>22</v>
      </c>
      <c r="D28" s="44"/>
      <c r="G28" s="44"/>
      <c r="H28" s="44"/>
      <c r="J28" s="556"/>
      <c r="L28" s="864"/>
    </row>
    <row r="29" spans="1:12" ht="12.15" customHeight="1" thickBot="1" x14ac:dyDescent="0.3">
      <c r="A29" s="12" t="s">
        <v>455</v>
      </c>
      <c r="B29" s="2"/>
      <c r="C29" s="44" t="s">
        <v>1175</v>
      </c>
      <c r="D29" s="44"/>
      <c r="G29" s="44"/>
      <c r="H29" s="44"/>
      <c r="J29" s="557">
        <f>'Maximum Rates'!D7</f>
        <v>102</v>
      </c>
      <c r="K29" s="870">
        <v>1</v>
      </c>
      <c r="L29" s="864">
        <f>(J29*K29)</f>
        <v>102</v>
      </c>
    </row>
    <row r="30" spans="1:12" ht="12.15" customHeight="1" x14ac:dyDescent="0.25">
      <c r="A30" s="12" t="s">
        <v>218</v>
      </c>
      <c r="B30" s="2"/>
      <c r="C30" s="44" t="s">
        <v>22</v>
      </c>
      <c r="D30" s="44"/>
      <c r="G30" s="44"/>
      <c r="H30" s="44"/>
      <c r="J30" s="556"/>
      <c r="L30" s="864"/>
    </row>
    <row r="31" spans="1:12" ht="12.15" customHeight="1" thickBot="1" x14ac:dyDescent="0.3">
      <c r="A31" s="51"/>
      <c r="C31" s="44"/>
      <c r="D31" s="44"/>
      <c r="G31" s="44"/>
      <c r="H31" s="44"/>
      <c r="J31" s="556"/>
      <c r="L31" s="864"/>
    </row>
    <row r="32" spans="1:12" ht="12.15" customHeight="1" thickBot="1" x14ac:dyDescent="0.3">
      <c r="A32" s="12" t="s">
        <v>456</v>
      </c>
      <c r="B32" s="2"/>
      <c r="C32" s="44" t="s">
        <v>1176</v>
      </c>
      <c r="D32" s="44"/>
      <c r="G32" s="44"/>
      <c r="H32" s="44"/>
      <c r="J32" s="557">
        <f>'Maximum Rates'!D10</f>
        <v>74</v>
      </c>
      <c r="K32" s="870">
        <v>1</v>
      </c>
      <c r="L32" s="864">
        <f>(J32*K32)</f>
        <v>74</v>
      </c>
    </row>
    <row r="33" spans="1:12" ht="12.15" customHeight="1" thickBot="1" x14ac:dyDescent="0.3">
      <c r="A33" s="51"/>
      <c r="C33" s="44" t="s">
        <v>22</v>
      </c>
      <c r="D33" s="44"/>
      <c r="G33" s="44"/>
      <c r="H33" s="44"/>
      <c r="J33" s="827"/>
      <c r="L33" s="864"/>
    </row>
    <row r="34" spans="1:12" ht="12.15" customHeight="1" thickBot="1" x14ac:dyDescent="0.3">
      <c r="A34" s="12" t="s">
        <v>457</v>
      </c>
      <c r="B34" s="2"/>
      <c r="C34" s="44" t="s">
        <v>437</v>
      </c>
      <c r="D34" s="44"/>
      <c r="G34" s="44"/>
      <c r="H34" s="44"/>
      <c r="J34" s="557">
        <f>'Maximum Rates'!D11</f>
        <v>60</v>
      </c>
      <c r="K34" s="870">
        <v>2</v>
      </c>
      <c r="L34" s="864">
        <f>(J34*K34)</f>
        <v>120</v>
      </c>
    </row>
    <row r="35" spans="1:12" ht="12.15" customHeight="1" thickBot="1" x14ac:dyDescent="0.3">
      <c r="A35" s="51"/>
      <c r="C35" s="44" t="s">
        <v>22</v>
      </c>
      <c r="D35" s="44"/>
      <c r="G35" s="44"/>
      <c r="H35" s="44"/>
      <c r="J35" s="827"/>
      <c r="L35" s="864"/>
    </row>
    <row r="36" spans="1:12" s="882" customFormat="1" ht="15" customHeight="1" thickBot="1" x14ac:dyDescent="0.3">
      <c r="A36" s="560"/>
      <c r="B36" s="880"/>
      <c r="C36" s="880"/>
      <c r="D36" s="881"/>
      <c r="E36" s="881"/>
      <c r="F36" s="628" t="s">
        <v>104</v>
      </c>
      <c r="G36" s="561"/>
      <c r="H36" s="561"/>
      <c r="I36" s="561"/>
      <c r="J36" s="561"/>
      <c r="K36" s="561"/>
      <c r="L36" s="559">
        <f>SUM(L25:L34)</f>
        <v>558</v>
      </c>
    </row>
    <row r="37" spans="1:12" ht="12.15" customHeight="1" thickBot="1" x14ac:dyDescent="0.3">
      <c r="A37" s="2"/>
      <c r="B37" s="827"/>
      <c r="D37" s="44"/>
      <c r="F37" s="827"/>
      <c r="G37" s="891"/>
      <c r="H37" s="891"/>
      <c r="I37" s="891"/>
      <c r="J37" s="872"/>
      <c r="K37" s="872"/>
      <c r="L37" s="873"/>
    </row>
    <row r="38" spans="1:12" ht="18" customHeight="1" x14ac:dyDescent="0.25">
      <c r="A38" s="875" t="s">
        <v>1040</v>
      </c>
      <c r="B38" s="876"/>
      <c r="C38" s="876"/>
      <c r="D38" s="876"/>
      <c r="E38" s="876"/>
      <c r="F38" s="876"/>
      <c r="G38" s="876"/>
      <c r="H38" s="876"/>
      <c r="I38" s="876"/>
      <c r="J38" s="876"/>
      <c r="K38" s="876"/>
      <c r="L38" s="877"/>
    </row>
    <row r="39" spans="1:12" ht="12.15" customHeight="1" thickBot="1" x14ac:dyDescent="0.3">
      <c r="A39" s="12"/>
      <c r="B39" s="827"/>
      <c r="D39" s="44"/>
      <c r="F39" s="827"/>
      <c r="G39" s="44"/>
      <c r="H39" s="44"/>
      <c r="J39" s="556"/>
      <c r="L39" s="864"/>
    </row>
    <row r="40" spans="1:12" ht="12.15" customHeight="1" thickBot="1" x14ac:dyDescent="0.3">
      <c r="A40" s="12" t="s">
        <v>453</v>
      </c>
      <c r="B40" s="2"/>
      <c r="C40" s="44" t="s">
        <v>1303</v>
      </c>
      <c r="D40" s="44"/>
      <c r="G40" s="44"/>
      <c r="H40" s="44"/>
      <c r="J40" s="557">
        <f>'Maximum Rates'!D5</f>
        <v>122</v>
      </c>
      <c r="K40" s="870">
        <v>2</v>
      </c>
      <c r="L40" s="864">
        <f>(J40*K40)</f>
        <v>244</v>
      </c>
    </row>
    <row r="41" spans="1:12" ht="12.15" customHeight="1" thickBot="1" x14ac:dyDescent="0.3">
      <c r="A41" s="51"/>
      <c r="C41" s="44" t="s">
        <v>22</v>
      </c>
      <c r="D41" s="44"/>
      <c r="G41" s="44"/>
      <c r="H41" s="44"/>
      <c r="J41" s="556"/>
      <c r="L41" s="864"/>
    </row>
    <row r="42" spans="1:12" ht="12.15" customHeight="1" thickBot="1" x14ac:dyDescent="0.3">
      <c r="A42" s="12" t="s">
        <v>454</v>
      </c>
      <c r="B42" s="2"/>
      <c r="C42" s="44" t="s">
        <v>1105</v>
      </c>
      <c r="D42" s="44"/>
      <c r="G42" s="44"/>
      <c r="H42" s="44"/>
      <c r="J42" s="557">
        <f>'Maximum Rates'!D6</f>
        <v>140</v>
      </c>
      <c r="K42" s="870">
        <v>1</v>
      </c>
      <c r="L42" s="864">
        <f>(J42*K42)</f>
        <v>140</v>
      </c>
    </row>
    <row r="43" spans="1:12" ht="12.15" customHeight="1" thickBot="1" x14ac:dyDescent="0.3">
      <c r="A43" s="51"/>
      <c r="C43" s="44" t="s">
        <v>1106</v>
      </c>
      <c r="D43" s="44"/>
      <c r="G43" s="44"/>
      <c r="H43" s="44"/>
      <c r="J43" s="556"/>
      <c r="L43" s="864"/>
    </row>
    <row r="44" spans="1:12" ht="12.15" customHeight="1" thickBot="1" x14ac:dyDescent="0.3">
      <c r="A44" s="12" t="s">
        <v>455</v>
      </c>
      <c r="B44" s="2"/>
      <c r="C44" s="44" t="s">
        <v>1175</v>
      </c>
      <c r="D44" s="44"/>
      <c r="G44" s="44"/>
      <c r="H44" s="44"/>
      <c r="J44" s="557">
        <f>'Maximum Rates'!D7</f>
        <v>102</v>
      </c>
      <c r="K44" s="870">
        <v>3</v>
      </c>
      <c r="L44" s="864">
        <f>(J44*K44)</f>
        <v>306</v>
      </c>
    </row>
    <row r="45" spans="1:12" ht="12.15" customHeight="1" x14ac:dyDescent="0.25">
      <c r="A45" s="12" t="s">
        <v>218</v>
      </c>
      <c r="B45" s="2"/>
      <c r="C45" s="44" t="s">
        <v>22</v>
      </c>
      <c r="D45" s="44"/>
      <c r="G45" s="44"/>
      <c r="H45" s="44"/>
      <c r="J45" s="556"/>
      <c r="L45" s="864"/>
    </row>
    <row r="46" spans="1:12" ht="12.15" customHeight="1" thickBot="1" x14ac:dyDescent="0.3">
      <c r="A46" s="51"/>
      <c r="C46" s="44"/>
      <c r="D46" s="44"/>
      <c r="G46" s="44"/>
      <c r="H46" s="44"/>
      <c r="J46" s="556"/>
      <c r="L46" s="864"/>
    </row>
    <row r="47" spans="1:12" ht="12.15" customHeight="1" thickBot="1" x14ac:dyDescent="0.3">
      <c r="A47" s="12" t="s">
        <v>456</v>
      </c>
      <c r="B47" s="2"/>
      <c r="C47" s="44" t="s">
        <v>1176</v>
      </c>
      <c r="D47" s="44"/>
      <c r="G47" s="44"/>
      <c r="H47" s="44"/>
      <c r="J47" s="557">
        <f>'Maximum Rates'!D10</f>
        <v>74</v>
      </c>
      <c r="K47" s="870">
        <v>2</v>
      </c>
      <c r="L47" s="864">
        <f>(J47*K47)</f>
        <v>148</v>
      </c>
    </row>
    <row r="48" spans="1:12" ht="12.15" customHeight="1" thickBot="1" x14ac:dyDescent="0.3">
      <c r="A48" s="51"/>
      <c r="C48" s="44" t="s">
        <v>22</v>
      </c>
      <c r="D48" s="44"/>
      <c r="G48" s="44"/>
      <c r="H48" s="44"/>
      <c r="J48" s="557"/>
      <c r="L48" s="864"/>
    </row>
    <row r="49" spans="1:12" ht="12.15" customHeight="1" thickBot="1" x14ac:dyDescent="0.3">
      <c r="A49" s="12" t="s">
        <v>457</v>
      </c>
      <c r="B49" s="2"/>
      <c r="C49" s="44" t="s">
        <v>437</v>
      </c>
      <c r="D49" s="44"/>
      <c r="G49" s="44"/>
      <c r="H49" s="44"/>
      <c r="J49" s="557">
        <f>'Maximum Rates'!D11</f>
        <v>60</v>
      </c>
      <c r="K49" s="870">
        <v>2</v>
      </c>
      <c r="L49" s="864">
        <f>(J49*K49)</f>
        <v>120</v>
      </c>
    </row>
    <row r="50" spans="1:12" ht="12.15" customHeight="1" thickBot="1" x14ac:dyDescent="0.3">
      <c r="A50" s="51"/>
      <c r="C50" s="44" t="s">
        <v>22</v>
      </c>
      <c r="D50" s="44"/>
      <c r="G50" s="44"/>
      <c r="H50" s="44"/>
      <c r="J50" s="557"/>
      <c r="L50" s="864"/>
    </row>
    <row r="51" spans="1:12" s="882" customFormat="1" ht="15.6" customHeight="1" thickBot="1" x14ac:dyDescent="0.3">
      <c r="A51" s="560"/>
      <c r="B51" s="880"/>
      <c r="C51" s="880"/>
      <c r="D51" s="881"/>
      <c r="E51" s="881"/>
      <c r="F51" s="909" t="s">
        <v>103</v>
      </c>
      <c r="G51" s="892"/>
      <c r="H51" s="892"/>
      <c r="I51" s="893"/>
      <c r="J51" s="894"/>
      <c r="K51" s="894"/>
      <c r="L51" s="559">
        <f>SUM(L40:L49)</f>
        <v>958</v>
      </c>
    </row>
    <row r="52" spans="1:12" ht="12.15" customHeight="1" thickBot="1" x14ac:dyDescent="0.3">
      <c r="A52" s="2"/>
      <c r="B52" s="827"/>
      <c r="D52" s="44"/>
      <c r="F52" s="827"/>
      <c r="G52" s="621"/>
      <c r="H52" s="621"/>
      <c r="I52" s="621"/>
      <c r="J52" s="827"/>
      <c r="L52" s="26"/>
    </row>
    <row r="53" spans="1:12" ht="18" customHeight="1" x14ac:dyDescent="0.3">
      <c r="A53" s="875" t="s">
        <v>1039</v>
      </c>
      <c r="B53" s="857"/>
      <c r="C53" s="857"/>
      <c r="D53" s="857"/>
      <c r="E53" s="857"/>
      <c r="F53" s="857"/>
      <c r="G53" s="857"/>
      <c r="H53" s="857"/>
      <c r="I53" s="857"/>
      <c r="J53" s="857"/>
      <c r="K53" s="857"/>
      <c r="L53" s="858"/>
    </row>
    <row r="54" spans="1:12" ht="12.15" customHeight="1" thickBot="1" x14ac:dyDescent="0.3">
      <c r="A54" s="51"/>
      <c r="B54" s="827"/>
      <c r="D54" s="44"/>
      <c r="F54" s="827"/>
      <c r="G54" s="44"/>
      <c r="H54" s="44"/>
      <c r="J54" s="827"/>
      <c r="L54" s="864"/>
    </row>
    <row r="55" spans="1:12" ht="12.15" customHeight="1" thickBot="1" x14ac:dyDescent="0.3">
      <c r="A55" s="12" t="s">
        <v>453</v>
      </c>
      <c r="B55" s="2"/>
      <c r="C55" s="44" t="s">
        <v>458</v>
      </c>
      <c r="D55" s="44"/>
      <c r="G55" s="44"/>
      <c r="H55" s="44"/>
      <c r="J55" s="557">
        <f>'Maximum Rates'!D5</f>
        <v>122</v>
      </c>
      <c r="K55" s="870">
        <v>4</v>
      </c>
      <c r="L55" s="864">
        <f>(J55*K55)</f>
        <v>488</v>
      </c>
    </row>
    <row r="56" spans="1:12" ht="12.15" customHeight="1" x14ac:dyDescent="0.25">
      <c r="A56" s="51"/>
      <c r="C56" s="44" t="s">
        <v>309</v>
      </c>
      <c r="D56" s="44"/>
      <c r="G56" s="44"/>
      <c r="H56" s="44"/>
      <c r="J56" s="556"/>
      <c r="L56" s="864"/>
    </row>
    <row r="57" spans="1:12" ht="12.15" customHeight="1" x14ac:dyDescent="0.25">
      <c r="A57" s="51"/>
      <c r="C57" s="44" t="s">
        <v>1104</v>
      </c>
      <c r="D57" s="44"/>
      <c r="G57" s="44"/>
      <c r="H57" s="44"/>
      <c r="J57" s="556"/>
      <c r="L57" s="864"/>
    </row>
    <row r="58" spans="1:12" ht="12.15" customHeight="1" thickBot="1" x14ac:dyDescent="0.3">
      <c r="A58" s="878"/>
      <c r="B58" s="827"/>
      <c r="C58" s="44" t="s">
        <v>22</v>
      </c>
      <c r="D58" s="44"/>
      <c r="G58" s="44"/>
      <c r="H58" s="44"/>
      <c r="J58" s="556"/>
      <c r="L58" s="864"/>
    </row>
    <row r="59" spans="1:12" ht="12.15" customHeight="1" thickBot="1" x14ac:dyDescent="0.3">
      <c r="A59" s="12" t="s">
        <v>454</v>
      </c>
      <c r="B59" s="2"/>
      <c r="C59" s="44" t="s">
        <v>29</v>
      </c>
      <c r="D59" s="44"/>
      <c r="G59" s="44"/>
      <c r="H59" s="44"/>
      <c r="J59" s="557">
        <f>'Maximum Rates'!D6</f>
        <v>140</v>
      </c>
      <c r="K59" s="870">
        <v>1</v>
      </c>
      <c r="L59" s="864">
        <f>(J59*K59)</f>
        <v>140</v>
      </c>
    </row>
    <row r="60" spans="1:12" ht="12.15" customHeight="1" x14ac:dyDescent="0.25">
      <c r="A60" s="51"/>
      <c r="C60" s="44" t="s">
        <v>400</v>
      </c>
      <c r="D60" s="44"/>
      <c r="G60" s="44"/>
      <c r="H60" s="44"/>
      <c r="J60" s="556"/>
      <c r="L60" s="864"/>
    </row>
    <row r="61" spans="1:12" ht="12.15" customHeight="1" thickBot="1" x14ac:dyDescent="0.3">
      <c r="A61" s="51"/>
      <c r="C61" s="44" t="s">
        <v>22</v>
      </c>
      <c r="D61" s="44"/>
      <c r="G61" s="44"/>
      <c r="H61" s="44"/>
      <c r="J61" s="556"/>
      <c r="L61" s="864"/>
    </row>
    <row r="62" spans="1:12" ht="12.15" customHeight="1" thickBot="1" x14ac:dyDescent="0.3">
      <c r="A62" s="12" t="s">
        <v>455</v>
      </c>
      <c r="B62" s="2"/>
      <c r="C62" s="44" t="s">
        <v>294</v>
      </c>
      <c r="D62" s="44"/>
      <c r="G62" s="44"/>
      <c r="H62" s="44"/>
      <c r="J62" s="557">
        <f>'Maximum Rates'!D7</f>
        <v>102</v>
      </c>
      <c r="K62" s="870">
        <v>4</v>
      </c>
      <c r="L62" s="864">
        <f>(J62*K62)</f>
        <v>408</v>
      </c>
    </row>
    <row r="63" spans="1:12" ht="12.15" customHeight="1" x14ac:dyDescent="0.25">
      <c r="A63" s="12" t="s">
        <v>218</v>
      </c>
      <c r="B63" s="2"/>
      <c r="C63" s="44" t="s">
        <v>22</v>
      </c>
      <c r="D63" s="44"/>
      <c r="G63" s="44"/>
      <c r="H63" s="44"/>
      <c r="J63" s="556"/>
      <c r="L63" s="864"/>
    </row>
    <row r="64" spans="1:12" ht="12.15" customHeight="1" thickBot="1" x14ac:dyDescent="0.3">
      <c r="A64" s="51"/>
      <c r="C64" s="44"/>
      <c r="D64" s="44"/>
      <c r="G64" s="44"/>
      <c r="H64" s="44"/>
      <c r="J64" s="556"/>
      <c r="L64" s="864"/>
    </row>
    <row r="65" spans="1:12" ht="12.15" customHeight="1" thickBot="1" x14ac:dyDescent="0.3">
      <c r="A65" s="12" t="s">
        <v>456</v>
      </c>
      <c r="B65" s="2"/>
      <c r="C65" s="44" t="s">
        <v>322</v>
      </c>
      <c r="D65" s="44"/>
      <c r="G65" s="44"/>
      <c r="H65" s="44"/>
      <c r="J65" s="557">
        <f>'Maximum Rates'!D10</f>
        <v>74</v>
      </c>
      <c r="K65" s="870">
        <v>2</v>
      </c>
      <c r="L65" s="864">
        <f>(J65*K65)</f>
        <v>148</v>
      </c>
    </row>
    <row r="66" spans="1:12" ht="12.15" customHeight="1" x14ac:dyDescent="0.25">
      <c r="A66" s="51"/>
      <c r="C66" s="44" t="s">
        <v>397</v>
      </c>
      <c r="D66" s="44"/>
      <c r="G66" s="44"/>
      <c r="H66" s="44"/>
      <c r="J66" s="556"/>
      <c r="L66" s="864"/>
    </row>
    <row r="67" spans="1:12" ht="12.15" customHeight="1" thickBot="1" x14ac:dyDescent="0.3">
      <c r="A67" s="51"/>
      <c r="C67" s="44" t="s">
        <v>22</v>
      </c>
      <c r="D67" s="44"/>
      <c r="G67" s="44"/>
      <c r="H67" s="44"/>
      <c r="J67" s="556"/>
      <c r="L67" s="864"/>
    </row>
    <row r="68" spans="1:12" ht="12.15" customHeight="1" thickBot="1" x14ac:dyDescent="0.3">
      <c r="A68" s="12" t="s">
        <v>457</v>
      </c>
      <c r="B68" s="2"/>
      <c r="C68" s="44" t="s">
        <v>443</v>
      </c>
      <c r="D68" s="44"/>
      <c r="G68" s="44"/>
      <c r="H68" s="44"/>
      <c r="J68" s="557">
        <f>'Maximum Rates'!D11</f>
        <v>60</v>
      </c>
      <c r="K68" s="870">
        <v>3</v>
      </c>
      <c r="L68" s="864">
        <f>(J68*K68)</f>
        <v>180</v>
      </c>
    </row>
    <row r="69" spans="1:12" ht="12.15" customHeight="1" thickBot="1" x14ac:dyDescent="0.3">
      <c r="A69" s="51"/>
      <c r="C69" s="44" t="s">
        <v>22</v>
      </c>
      <c r="D69" s="44"/>
      <c r="G69" s="44"/>
      <c r="H69" s="44"/>
      <c r="J69" s="827"/>
      <c r="L69" s="864"/>
    </row>
    <row r="70" spans="1:12" s="882" customFormat="1" ht="15" customHeight="1" thickBot="1" x14ac:dyDescent="0.3">
      <c r="A70" s="879"/>
      <c r="B70" s="880"/>
      <c r="C70" s="880"/>
      <c r="D70" s="881"/>
      <c r="E70" s="881"/>
      <c r="F70" s="909" t="s">
        <v>107</v>
      </c>
      <c r="G70" s="892"/>
      <c r="H70" s="892"/>
      <c r="I70" s="561"/>
      <c r="J70" s="561"/>
      <c r="K70" s="561"/>
      <c r="L70" s="559">
        <f>SUM(L55:L68)</f>
        <v>1364</v>
      </c>
    </row>
    <row r="71" spans="1:12" ht="12.15" customHeight="1" thickBot="1" x14ac:dyDescent="0.3">
      <c r="B71" s="827"/>
      <c r="D71" s="44"/>
      <c r="F71" s="827"/>
      <c r="G71" s="621"/>
      <c r="H71" s="621"/>
      <c r="I71" s="621"/>
      <c r="J71" s="827"/>
      <c r="L71" s="26"/>
    </row>
    <row r="72" spans="1:12" ht="18" customHeight="1" x14ac:dyDescent="0.3">
      <c r="A72" s="2415" t="s">
        <v>105</v>
      </c>
      <c r="B72" s="2416"/>
      <c r="C72" s="2416"/>
      <c r="D72" s="2416"/>
      <c r="E72" s="2416"/>
      <c r="F72" s="2416"/>
      <c r="G72" s="2416"/>
      <c r="H72" s="2416"/>
      <c r="I72" s="2416"/>
      <c r="J72" s="2416"/>
      <c r="K72" s="2416"/>
      <c r="L72" s="2417"/>
    </row>
    <row r="73" spans="1:12" ht="12.15" customHeight="1" thickBot="1" x14ac:dyDescent="0.3">
      <c r="A73" s="51"/>
      <c r="B73" s="827"/>
      <c r="D73" s="44"/>
      <c r="F73" s="827"/>
      <c r="G73" s="44"/>
      <c r="H73" s="44"/>
      <c r="J73" s="827"/>
      <c r="L73" s="864"/>
    </row>
    <row r="74" spans="1:12" ht="12.15" customHeight="1" thickBot="1" x14ac:dyDescent="0.3">
      <c r="A74" s="12" t="s">
        <v>453</v>
      </c>
      <c r="B74" s="2"/>
      <c r="C74" s="44" t="s">
        <v>458</v>
      </c>
      <c r="D74" s="44"/>
      <c r="G74" s="44"/>
      <c r="H74" s="44"/>
      <c r="J74" s="557">
        <f>'Maximum Rates'!D5</f>
        <v>122</v>
      </c>
      <c r="K74" s="870">
        <v>5</v>
      </c>
      <c r="L74" s="864">
        <f>(J74*K74)</f>
        <v>610</v>
      </c>
    </row>
    <row r="75" spans="1:12" ht="12.15" customHeight="1" x14ac:dyDescent="0.25">
      <c r="A75" s="51"/>
      <c r="C75" s="44" t="s">
        <v>309</v>
      </c>
      <c r="D75" s="44"/>
      <c r="G75" s="44"/>
      <c r="H75" s="44"/>
      <c r="J75" s="556"/>
      <c r="L75" s="864"/>
    </row>
    <row r="76" spans="1:12" ht="12.15" customHeight="1" x14ac:dyDescent="0.25">
      <c r="A76" s="51"/>
      <c r="C76" s="44" t="s">
        <v>321</v>
      </c>
      <c r="D76" s="44"/>
      <c r="G76" s="44"/>
      <c r="H76" s="44"/>
      <c r="J76" s="556"/>
      <c r="L76" s="864"/>
    </row>
    <row r="77" spans="1:12" ht="12.15" customHeight="1" thickBot="1" x14ac:dyDescent="0.3">
      <c r="A77" s="878"/>
      <c r="B77" s="827"/>
      <c r="C77" s="44" t="s">
        <v>22</v>
      </c>
      <c r="D77" s="44"/>
      <c r="G77" s="44"/>
      <c r="H77" s="44"/>
      <c r="J77" s="556"/>
      <c r="L77" s="864"/>
    </row>
    <row r="78" spans="1:12" ht="12.15" customHeight="1" thickBot="1" x14ac:dyDescent="0.3">
      <c r="A78" s="12" t="s">
        <v>454</v>
      </c>
      <c r="B78" s="2"/>
      <c r="C78" s="44" t="s">
        <v>29</v>
      </c>
      <c r="D78" s="44"/>
      <c r="G78" s="44"/>
      <c r="H78" s="44"/>
      <c r="J78" s="557">
        <f>'Maximum Rates'!D6</f>
        <v>140</v>
      </c>
      <c r="K78" s="870">
        <v>1</v>
      </c>
      <c r="L78" s="864">
        <f>(J78*K78)</f>
        <v>140</v>
      </c>
    </row>
    <row r="79" spans="1:12" ht="12.15" customHeight="1" x14ac:dyDescent="0.25">
      <c r="A79" s="51"/>
      <c r="C79" s="44" t="s">
        <v>400</v>
      </c>
      <c r="D79" s="44"/>
      <c r="G79" s="44"/>
      <c r="H79" s="44"/>
      <c r="J79" s="556"/>
      <c r="L79" s="864"/>
    </row>
    <row r="80" spans="1:12" ht="12.15" customHeight="1" thickBot="1" x14ac:dyDescent="0.3">
      <c r="A80" s="51"/>
      <c r="C80" s="44" t="s">
        <v>22</v>
      </c>
      <c r="D80" s="44"/>
      <c r="G80" s="44"/>
      <c r="H80" s="44"/>
      <c r="J80" s="556"/>
      <c r="L80" s="864"/>
    </row>
    <row r="81" spans="1:12" ht="12.15" customHeight="1" thickBot="1" x14ac:dyDescent="0.3">
      <c r="A81" s="12" t="s">
        <v>455</v>
      </c>
      <c r="B81" s="2"/>
      <c r="C81" s="44" t="s">
        <v>294</v>
      </c>
      <c r="D81" s="44"/>
      <c r="G81" s="44"/>
      <c r="H81" s="44"/>
      <c r="J81" s="557">
        <f>'Maximum Rates'!D7</f>
        <v>102</v>
      </c>
      <c r="K81" s="870">
        <v>5</v>
      </c>
      <c r="L81" s="864">
        <f>(J81*K81)</f>
        <v>510</v>
      </c>
    </row>
    <row r="82" spans="1:12" ht="12.15" customHeight="1" x14ac:dyDescent="0.25">
      <c r="A82" s="12" t="s">
        <v>218</v>
      </c>
      <c r="B82" s="2"/>
      <c r="C82" s="44" t="s">
        <v>22</v>
      </c>
      <c r="D82" s="44"/>
      <c r="G82" s="44"/>
      <c r="H82" s="44"/>
      <c r="J82" s="556"/>
      <c r="L82" s="864"/>
    </row>
    <row r="83" spans="1:12" ht="12.15" customHeight="1" thickBot="1" x14ac:dyDescent="0.3">
      <c r="A83" s="51"/>
      <c r="C83" s="44"/>
      <c r="D83" s="44"/>
      <c r="G83" s="44"/>
      <c r="H83" s="44"/>
      <c r="J83" s="556"/>
      <c r="L83" s="864"/>
    </row>
    <row r="84" spans="1:12" ht="12.15" customHeight="1" thickBot="1" x14ac:dyDescent="0.3">
      <c r="A84" s="12" t="s">
        <v>456</v>
      </c>
      <c r="B84" s="2"/>
      <c r="C84" s="44" t="s">
        <v>322</v>
      </c>
      <c r="D84" s="44"/>
      <c r="G84" s="44"/>
      <c r="H84" s="44"/>
      <c r="J84" s="557">
        <f>'Maximum Rates'!D10</f>
        <v>74</v>
      </c>
      <c r="K84" s="870">
        <v>3</v>
      </c>
      <c r="L84" s="864">
        <f>(J84*K84)</f>
        <v>222</v>
      </c>
    </row>
    <row r="85" spans="1:12" ht="12.15" customHeight="1" x14ac:dyDescent="0.25">
      <c r="A85" s="51"/>
      <c r="C85" s="44" t="s">
        <v>397</v>
      </c>
      <c r="D85" s="44"/>
      <c r="G85" s="44"/>
      <c r="H85" s="44"/>
      <c r="J85" s="556"/>
      <c r="L85" s="864"/>
    </row>
    <row r="86" spans="1:12" ht="12.15" customHeight="1" thickBot="1" x14ac:dyDescent="0.3">
      <c r="A86" s="51"/>
      <c r="C86" s="44" t="s">
        <v>22</v>
      </c>
      <c r="D86" s="44"/>
      <c r="G86" s="44"/>
      <c r="H86" s="44"/>
      <c r="J86" s="556"/>
      <c r="L86" s="864"/>
    </row>
    <row r="87" spans="1:12" ht="12.15" customHeight="1" thickBot="1" x14ac:dyDescent="0.3">
      <c r="A87" s="12" t="s">
        <v>457</v>
      </c>
      <c r="B87" s="2"/>
      <c r="C87" s="44" t="s">
        <v>443</v>
      </c>
      <c r="D87" s="44"/>
      <c r="G87" s="44"/>
      <c r="H87" s="44"/>
      <c r="J87" s="557">
        <f>'Maximum Rates'!D11</f>
        <v>60</v>
      </c>
      <c r="K87" s="870">
        <v>3</v>
      </c>
      <c r="L87" s="895">
        <f>(J87*K87)</f>
        <v>180</v>
      </c>
    </row>
    <row r="88" spans="1:12" ht="12.15" customHeight="1" thickBot="1" x14ac:dyDescent="0.3">
      <c r="A88" s="51"/>
      <c r="C88" s="44" t="s">
        <v>22</v>
      </c>
      <c r="D88" s="44"/>
      <c r="G88" s="44"/>
      <c r="H88" s="44"/>
      <c r="J88" s="827"/>
      <c r="L88" s="864"/>
    </row>
    <row r="89" spans="1:12" s="882" customFormat="1" ht="16.2" customHeight="1" thickBot="1" x14ac:dyDescent="0.3">
      <c r="A89" s="879"/>
      <c r="B89" s="880"/>
      <c r="C89" s="880"/>
      <c r="D89" s="881"/>
      <c r="E89" s="881"/>
      <c r="F89" s="909" t="s">
        <v>106</v>
      </c>
      <c r="G89" s="892"/>
      <c r="H89" s="892"/>
      <c r="I89" s="562"/>
      <c r="J89" s="562"/>
      <c r="K89" s="562"/>
      <c r="L89" s="559">
        <f>SUM(L74:L87)</f>
        <v>1662</v>
      </c>
    </row>
    <row r="90" spans="1:12" ht="12.15" customHeight="1" thickBot="1" x14ac:dyDescent="0.3">
      <c r="B90" s="827"/>
      <c r="D90" s="44"/>
      <c r="F90" s="827"/>
      <c r="G90" s="621"/>
      <c r="H90" s="621"/>
      <c r="I90" s="621"/>
      <c r="J90" s="827"/>
      <c r="L90" s="26"/>
    </row>
    <row r="91" spans="1:12" s="882" customFormat="1" ht="18" customHeight="1" x14ac:dyDescent="0.25">
      <c r="A91" s="875" t="s">
        <v>1100</v>
      </c>
      <c r="B91" s="876"/>
      <c r="C91" s="876"/>
      <c r="D91" s="876"/>
      <c r="E91" s="876"/>
      <c r="F91" s="876"/>
      <c r="G91" s="876"/>
      <c r="H91" s="876"/>
      <c r="I91" s="876"/>
      <c r="J91" s="876"/>
      <c r="K91" s="876"/>
      <c r="L91" s="877"/>
    </row>
    <row r="92" spans="1:12" ht="12.15" customHeight="1" thickBot="1" x14ac:dyDescent="0.3">
      <c r="A92" s="51"/>
      <c r="B92" s="827"/>
      <c r="D92" s="44"/>
      <c r="F92" s="827"/>
      <c r="G92" s="44"/>
      <c r="H92" s="44"/>
      <c r="J92" s="827"/>
      <c r="L92" s="864"/>
    </row>
    <row r="93" spans="1:12" ht="12.15" customHeight="1" thickBot="1" x14ac:dyDescent="0.3">
      <c r="A93" s="12" t="s">
        <v>453</v>
      </c>
      <c r="B93" s="2"/>
      <c r="C93" s="44" t="s">
        <v>1154</v>
      </c>
      <c r="D93" s="44"/>
      <c r="G93" s="44"/>
      <c r="H93" s="44"/>
      <c r="J93" s="557">
        <f>'Maximum Rates'!D5</f>
        <v>122</v>
      </c>
      <c r="K93" s="870">
        <v>8</v>
      </c>
      <c r="L93" s="864">
        <f>(J93*K93)</f>
        <v>976</v>
      </c>
    </row>
    <row r="94" spans="1:12" ht="12.15" customHeight="1" x14ac:dyDescent="0.25">
      <c r="A94" s="51"/>
      <c r="C94" s="44" t="s">
        <v>1155</v>
      </c>
      <c r="D94" s="44"/>
      <c r="G94" s="44"/>
      <c r="H94" s="44"/>
      <c r="J94" s="556"/>
      <c r="L94" s="864"/>
    </row>
    <row r="95" spans="1:12" ht="12.15" customHeight="1" x14ac:dyDescent="0.25">
      <c r="A95" s="51"/>
      <c r="C95" s="44"/>
      <c r="D95" s="44"/>
      <c r="G95" s="44"/>
      <c r="H95" s="44"/>
      <c r="J95" s="556"/>
      <c r="L95" s="864"/>
    </row>
    <row r="96" spans="1:12" ht="12.15" customHeight="1" thickBot="1" x14ac:dyDescent="0.3">
      <c r="A96" s="878"/>
      <c r="B96" s="827"/>
      <c r="C96" s="44"/>
      <c r="D96" s="44"/>
      <c r="G96" s="44"/>
      <c r="H96" s="44"/>
      <c r="J96" s="556"/>
      <c r="L96" s="864"/>
    </row>
    <row r="97" spans="1:12" ht="12.15" customHeight="1" thickBot="1" x14ac:dyDescent="0.3">
      <c r="A97" s="12" t="s">
        <v>454</v>
      </c>
      <c r="B97" s="2"/>
      <c r="C97" s="44" t="s">
        <v>1156</v>
      </c>
      <c r="D97" s="44"/>
      <c r="G97" s="44"/>
      <c r="H97" s="44"/>
      <c r="J97" s="557">
        <f>'Maximum Rates'!D6</f>
        <v>140</v>
      </c>
      <c r="K97" s="870">
        <v>1</v>
      </c>
      <c r="L97" s="864">
        <f>(J97*K97)</f>
        <v>140</v>
      </c>
    </row>
    <row r="98" spans="1:12" ht="12.15" customHeight="1" x14ac:dyDescent="0.25">
      <c r="A98" s="51"/>
      <c r="C98" s="44"/>
      <c r="D98" s="44"/>
      <c r="G98" s="44"/>
      <c r="H98" s="44"/>
      <c r="J98" s="556"/>
      <c r="L98" s="864"/>
    </row>
    <row r="99" spans="1:12" ht="12.15" customHeight="1" thickBot="1" x14ac:dyDescent="0.3">
      <c r="A99" s="51"/>
      <c r="C99" s="44"/>
      <c r="D99" s="44"/>
      <c r="G99" s="44"/>
      <c r="H99" s="44"/>
      <c r="J99" s="556"/>
      <c r="L99" s="864"/>
    </row>
    <row r="100" spans="1:12" ht="12.15" customHeight="1" thickBot="1" x14ac:dyDescent="0.3">
      <c r="A100" s="12" t="s">
        <v>455</v>
      </c>
      <c r="B100" s="2"/>
      <c r="C100" s="44" t="s">
        <v>1157</v>
      </c>
      <c r="D100" s="44"/>
      <c r="G100" s="44"/>
      <c r="H100" s="44"/>
      <c r="J100" s="557">
        <f>'Maximum Rates'!D7</f>
        <v>102</v>
      </c>
      <c r="K100" s="870">
        <v>2</v>
      </c>
      <c r="L100" s="864">
        <f>(J100*K100)</f>
        <v>204</v>
      </c>
    </row>
    <row r="101" spans="1:12" ht="12.15" customHeight="1" x14ac:dyDescent="0.25">
      <c r="A101" s="12" t="s">
        <v>218</v>
      </c>
      <c r="B101" s="2"/>
      <c r="C101" s="44"/>
      <c r="D101" s="44"/>
      <c r="G101" s="44"/>
      <c r="H101" s="44"/>
      <c r="J101" s="556"/>
      <c r="L101" s="864"/>
    </row>
    <row r="102" spans="1:12" ht="12.15" customHeight="1" thickBot="1" x14ac:dyDescent="0.3">
      <c r="A102" s="51"/>
      <c r="C102" s="44"/>
      <c r="D102" s="44"/>
      <c r="G102" s="44"/>
      <c r="H102" s="44"/>
      <c r="J102" s="556"/>
      <c r="L102" s="864"/>
    </row>
    <row r="103" spans="1:12" ht="12.15" customHeight="1" thickBot="1" x14ac:dyDescent="0.3">
      <c r="A103" s="12" t="s">
        <v>456</v>
      </c>
      <c r="B103" s="2"/>
      <c r="C103" s="44" t="s">
        <v>1158</v>
      </c>
      <c r="D103" s="44"/>
      <c r="G103" s="44"/>
      <c r="H103" s="44"/>
      <c r="J103" s="557">
        <f>'Maximum Rates'!D10</f>
        <v>74</v>
      </c>
      <c r="K103" s="870">
        <v>4</v>
      </c>
      <c r="L103" s="864">
        <f>(J103*K103)</f>
        <v>296</v>
      </c>
    </row>
    <row r="104" spans="1:12" ht="12.15" customHeight="1" x14ac:dyDescent="0.25">
      <c r="A104" s="51"/>
      <c r="C104" s="44"/>
      <c r="D104" s="44"/>
      <c r="G104" s="44"/>
      <c r="H104" s="44"/>
      <c r="J104" s="556"/>
      <c r="L104" s="864"/>
    </row>
    <row r="105" spans="1:12" ht="12.15" customHeight="1" thickBot="1" x14ac:dyDescent="0.3">
      <c r="A105" s="51"/>
      <c r="C105" s="44"/>
      <c r="D105" s="44"/>
      <c r="G105" s="44"/>
      <c r="H105" s="44"/>
      <c r="J105" s="556"/>
      <c r="L105" s="864"/>
    </row>
    <row r="106" spans="1:12" ht="12.15" customHeight="1" thickBot="1" x14ac:dyDescent="0.3">
      <c r="A106" s="12" t="s">
        <v>457</v>
      </c>
      <c r="B106" s="2"/>
      <c r="C106" s="44" t="s">
        <v>1159</v>
      </c>
      <c r="D106" s="44"/>
      <c r="G106" s="44"/>
      <c r="H106" s="44"/>
      <c r="J106" s="557">
        <f>'Maximum Rates'!D11</f>
        <v>60</v>
      </c>
      <c r="K106" s="870">
        <v>2</v>
      </c>
      <c r="L106" s="864">
        <f>(J106*K106)</f>
        <v>120</v>
      </c>
    </row>
    <row r="107" spans="1:12" ht="12.15" customHeight="1" thickBot="1" x14ac:dyDescent="0.3">
      <c r="A107" s="51"/>
      <c r="C107" s="44"/>
      <c r="D107" s="44"/>
      <c r="G107" s="44"/>
      <c r="H107" s="44"/>
      <c r="J107" s="827"/>
      <c r="L107" s="438"/>
    </row>
    <row r="108" spans="1:12" ht="13.2" customHeight="1" thickBot="1" x14ac:dyDescent="0.3">
      <c r="A108" s="879"/>
      <c r="B108" s="880"/>
      <c r="C108" s="880"/>
      <c r="D108" s="881"/>
      <c r="E108" s="881"/>
      <c r="F108" s="909" t="s">
        <v>1101</v>
      </c>
      <c r="G108" s="892"/>
      <c r="H108" s="892"/>
      <c r="I108" s="562"/>
      <c r="J108" s="562"/>
      <c r="K108" s="562"/>
      <c r="L108" s="559">
        <f>SUM(L93:L106)</f>
        <v>1736</v>
      </c>
    </row>
    <row r="109" spans="1:12" ht="12.15" customHeight="1" x14ac:dyDescent="0.25">
      <c r="C109" s="44"/>
      <c r="D109" s="44"/>
      <c r="G109" s="44"/>
      <c r="H109" s="44"/>
      <c r="K109" s="44"/>
      <c r="L109" s="44"/>
    </row>
    <row r="110" spans="1:12" ht="12.15" customHeight="1" x14ac:dyDescent="0.25">
      <c r="C110" s="44"/>
      <c r="D110" s="44"/>
      <c r="G110" s="44"/>
      <c r="H110" s="44"/>
      <c r="K110" s="44"/>
      <c r="L110" s="44"/>
    </row>
    <row r="111" spans="1:12" ht="12.15" customHeight="1" x14ac:dyDescent="0.25">
      <c r="C111" s="44"/>
      <c r="D111" s="44"/>
      <c r="G111" s="44"/>
      <c r="H111" s="44"/>
      <c r="K111" s="44"/>
      <c r="L111" s="44"/>
    </row>
    <row r="112" spans="1:12" ht="12.15" customHeight="1" x14ac:dyDescent="0.25">
      <c r="C112" s="44"/>
      <c r="D112" s="44"/>
      <c r="G112" s="44"/>
      <c r="H112" s="44"/>
      <c r="K112" s="44"/>
      <c r="L112" s="44"/>
    </row>
    <row r="113" spans="1:13" ht="12.15" customHeight="1" x14ac:dyDescent="0.25">
      <c r="C113" s="44"/>
      <c r="D113" s="44"/>
      <c r="G113" s="44"/>
      <c r="H113" s="44"/>
      <c r="K113" s="44"/>
      <c r="L113" s="44"/>
    </row>
    <row r="114" spans="1:13" ht="12.15" customHeight="1" thickBot="1" x14ac:dyDescent="0.3">
      <c r="C114" s="44"/>
      <c r="D114" s="44"/>
      <c r="G114" s="44"/>
      <c r="H114" s="44"/>
      <c r="K114" s="44"/>
      <c r="L114" s="44"/>
    </row>
    <row r="115" spans="1:13" s="882" customFormat="1" ht="12.15" customHeight="1" thickBot="1" x14ac:dyDescent="0.3">
      <c r="A115" s="626" t="s">
        <v>112</v>
      </c>
      <c r="B115" s="627"/>
      <c r="C115" s="627"/>
      <c r="D115" s="627"/>
      <c r="E115" s="627"/>
      <c r="F115" s="896"/>
      <c r="G115" s="628" t="s">
        <v>113</v>
      </c>
      <c r="H115" s="629"/>
      <c r="I115" s="629"/>
      <c r="J115" s="629"/>
      <c r="K115" s="629"/>
      <c r="L115" s="897">
        <f>SUM(D116+G116)</f>
        <v>305</v>
      </c>
    </row>
    <row r="116" spans="1:13" ht="15.6" customHeight="1" thickBot="1" x14ac:dyDescent="0.3">
      <c r="A116" s="935" t="s">
        <v>3</v>
      </c>
      <c r="B116" s="631"/>
      <c r="C116" s="898">
        <v>2.5</v>
      </c>
      <c r="D116" s="889">
        <f>(C116)*('Maximum Rates'!$D$5)</f>
        <v>305</v>
      </c>
      <c r="E116" s="558" t="s">
        <v>444</v>
      </c>
      <c r="F116" s="898"/>
      <c r="G116" s="899">
        <f>(F116)*('Maximum Rates'!$D$10)</f>
        <v>0</v>
      </c>
      <c r="H116" s="899"/>
      <c r="I116" s="900"/>
      <c r="J116" s="889"/>
      <c r="K116" s="901"/>
      <c r="L116" s="902"/>
    </row>
    <row r="117" spans="1:13" ht="13.2" customHeight="1" thickBot="1" x14ac:dyDescent="0.3">
      <c r="B117" s="555"/>
      <c r="D117" s="44"/>
      <c r="E117" s="2"/>
      <c r="F117" s="827"/>
      <c r="G117" s="44"/>
      <c r="H117" s="44"/>
      <c r="J117" s="903"/>
      <c r="K117" s="872"/>
      <c r="L117" s="26"/>
    </row>
    <row r="118" spans="1:13" s="882" customFormat="1" ht="13.2" customHeight="1" thickBot="1" x14ac:dyDescent="0.3">
      <c r="A118" s="626" t="s">
        <v>87</v>
      </c>
      <c r="B118" s="627"/>
      <c r="C118" s="627"/>
      <c r="D118" s="627"/>
      <c r="E118" s="627"/>
      <c r="F118" s="896"/>
      <c r="G118" s="628" t="s">
        <v>85</v>
      </c>
      <c r="H118" s="629"/>
      <c r="I118" s="629"/>
      <c r="J118" s="629"/>
      <c r="K118" s="629"/>
      <c r="L118" s="897">
        <f>SUM(D119+G119)</f>
        <v>213.5</v>
      </c>
    </row>
    <row r="119" spans="1:13" ht="13.2" customHeight="1" thickBot="1" x14ac:dyDescent="0.3">
      <c r="A119" s="630" t="s">
        <v>3</v>
      </c>
      <c r="B119" s="631"/>
      <c r="C119" s="898">
        <v>1.75</v>
      </c>
      <c r="D119" s="889">
        <f>(C119)*('Maximum Rates'!$D$5)</f>
        <v>213.5</v>
      </c>
      <c r="E119" s="558" t="s">
        <v>444</v>
      </c>
      <c r="F119" s="898"/>
      <c r="G119" s="899">
        <f>(F119)*('Maximum Rates'!$D$10)</f>
        <v>0</v>
      </c>
      <c r="H119" s="899"/>
      <c r="I119" s="900"/>
      <c r="J119" s="889"/>
      <c r="K119" s="901"/>
      <c r="L119" s="902"/>
    </row>
    <row r="120" spans="1:13" ht="13.2" customHeight="1" thickBot="1" x14ac:dyDescent="0.3">
      <c r="C120" s="44"/>
      <c r="D120" s="44"/>
      <c r="G120" s="44"/>
      <c r="H120" s="44"/>
      <c r="K120" s="44"/>
      <c r="L120" s="44"/>
      <c r="M120" s="44"/>
    </row>
    <row r="121" spans="1:13" ht="18" customHeight="1" x14ac:dyDescent="0.25">
      <c r="A121" s="875" t="s">
        <v>1026</v>
      </c>
      <c r="B121" s="876"/>
      <c r="C121" s="876"/>
      <c r="D121" s="876"/>
      <c r="E121" s="876"/>
      <c r="F121" s="876"/>
      <c r="G121" s="876"/>
      <c r="H121" s="876"/>
      <c r="I121" s="876"/>
      <c r="J121" s="876"/>
      <c r="K121" s="876"/>
      <c r="L121" s="877"/>
    </row>
    <row r="122" spans="1:13" ht="12.15" customHeight="1" thickBot="1" x14ac:dyDescent="0.3">
      <c r="A122" s="51"/>
      <c r="B122" s="827"/>
      <c r="D122" s="44"/>
      <c r="F122" s="827"/>
      <c r="G122" s="44"/>
      <c r="H122" s="44"/>
      <c r="J122" s="827"/>
      <c r="L122" s="864"/>
    </row>
    <row r="123" spans="1:13" ht="12.15" customHeight="1" thickBot="1" x14ac:dyDescent="0.3">
      <c r="A123" s="12" t="s">
        <v>453</v>
      </c>
      <c r="B123" s="2"/>
      <c r="C123" s="44" t="s">
        <v>1300</v>
      </c>
      <c r="D123" s="44"/>
      <c r="G123" s="44"/>
      <c r="H123" s="44"/>
      <c r="J123" s="557">
        <f>'Maximum Rates'!D5</f>
        <v>122</v>
      </c>
      <c r="K123" s="870">
        <v>5</v>
      </c>
      <c r="L123" s="864">
        <f>(J123*K123)</f>
        <v>610</v>
      </c>
    </row>
    <row r="124" spans="1:13" ht="12.15" customHeight="1" x14ac:dyDescent="0.25">
      <c r="A124" s="51"/>
      <c r="C124" s="44" t="s">
        <v>1301</v>
      </c>
      <c r="D124" s="44"/>
      <c r="G124" s="44"/>
      <c r="H124" s="44"/>
      <c r="J124" s="557"/>
      <c r="L124" s="864"/>
    </row>
    <row r="125" spans="1:13" ht="12.15" customHeight="1" x14ac:dyDescent="0.25">
      <c r="A125" s="51"/>
      <c r="C125" s="44" t="s">
        <v>22</v>
      </c>
      <c r="D125" s="44"/>
      <c r="G125" s="44"/>
      <c r="H125" s="44"/>
      <c r="J125" s="557"/>
      <c r="L125" s="864"/>
    </row>
    <row r="126" spans="1:13" ht="12.15" customHeight="1" thickBot="1" x14ac:dyDescent="0.3">
      <c r="A126" s="878"/>
      <c r="B126" s="827"/>
      <c r="C126" s="44"/>
      <c r="D126" s="44"/>
      <c r="G126" s="44"/>
      <c r="H126" s="44"/>
      <c r="J126" s="556"/>
      <c r="L126" s="864"/>
    </row>
    <row r="127" spans="1:13" ht="12.15" customHeight="1" thickBot="1" x14ac:dyDescent="0.3">
      <c r="A127" s="12" t="s">
        <v>454</v>
      </c>
      <c r="B127" s="2"/>
      <c r="C127" s="44" t="s">
        <v>1024</v>
      </c>
      <c r="D127" s="44"/>
      <c r="G127" s="44"/>
      <c r="H127" s="44"/>
      <c r="J127" s="557">
        <f>'Maximum Rates'!D6</f>
        <v>140</v>
      </c>
      <c r="K127" s="870">
        <v>1</v>
      </c>
      <c r="L127" s="864">
        <f>(J127*K127)</f>
        <v>140</v>
      </c>
    </row>
    <row r="128" spans="1:13" ht="12.15" customHeight="1" x14ac:dyDescent="0.25">
      <c r="A128" s="51"/>
      <c r="C128" s="44"/>
      <c r="D128" s="44"/>
      <c r="G128" s="44"/>
      <c r="H128" s="44"/>
      <c r="J128" s="557"/>
      <c r="L128" s="864"/>
    </row>
    <row r="129" spans="1:12" ht="12.15" customHeight="1" thickBot="1" x14ac:dyDescent="0.3">
      <c r="A129" s="51"/>
      <c r="C129" s="44"/>
      <c r="D129" s="44"/>
      <c r="G129" s="44"/>
      <c r="H129" s="44"/>
      <c r="J129" s="557"/>
      <c r="L129" s="864"/>
    </row>
    <row r="130" spans="1:12" ht="12.15" customHeight="1" thickBot="1" x14ac:dyDescent="0.3">
      <c r="A130" s="12" t="s">
        <v>455</v>
      </c>
      <c r="B130" s="2"/>
      <c r="C130" s="44" t="s">
        <v>1023</v>
      </c>
      <c r="D130" s="44"/>
      <c r="G130" s="44"/>
      <c r="H130" s="44"/>
      <c r="J130" s="557">
        <f>'Maximum Rates'!D7</f>
        <v>102</v>
      </c>
      <c r="K130" s="870">
        <v>8</v>
      </c>
      <c r="L130" s="864">
        <f>(J130*K130)</f>
        <v>816</v>
      </c>
    </row>
    <row r="131" spans="1:12" ht="12.15" customHeight="1" x14ac:dyDescent="0.25">
      <c r="A131" s="619" t="s">
        <v>218</v>
      </c>
      <c r="B131" s="620"/>
      <c r="C131" s="621"/>
      <c r="D131" s="621"/>
      <c r="E131" s="621"/>
      <c r="F131" s="621"/>
      <c r="G131" s="621"/>
      <c r="H131" s="621"/>
      <c r="I131" s="621"/>
      <c r="J131" s="556"/>
      <c r="L131" s="864"/>
    </row>
    <row r="132" spans="1:12" ht="12.15" customHeight="1" thickBot="1" x14ac:dyDescent="0.3">
      <c r="A132" s="878"/>
      <c r="B132" s="621"/>
      <c r="C132" s="621"/>
      <c r="D132" s="621"/>
      <c r="E132" s="621"/>
      <c r="F132" s="621"/>
      <c r="G132" s="621"/>
      <c r="H132" s="621"/>
      <c r="I132" s="621"/>
      <c r="J132" s="556"/>
      <c r="L132" s="864"/>
    </row>
    <row r="133" spans="1:12" ht="12.15" customHeight="1" thickBot="1" x14ac:dyDescent="0.3">
      <c r="A133" s="619" t="s">
        <v>456</v>
      </c>
      <c r="B133" s="620"/>
      <c r="C133" s="621" t="s">
        <v>1028</v>
      </c>
      <c r="D133" s="621"/>
      <c r="E133" s="621"/>
      <c r="F133" s="621"/>
      <c r="G133" s="621"/>
      <c r="H133" s="621"/>
      <c r="I133" s="621"/>
      <c r="J133" s="557">
        <f>'Maximum Rates'!D10</f>
        <v>74</v>
      </c>
      <c r="K133" s="870">
        <v>8</v>
      </c>
      <c r="L133" s="864">
        <f>(J133*K133)</f>
        <v>592</v>
      </c>
    </row>
    <row r="134" spans="1:12" ht="12.15" customHeight="1" x14ac:dyDescent="0.25">
      <c r="A134" s="878"/>
      <c r="B134" s="621"/>
      <c r="C134" s="621" t="s">
        <v>1029</v>
      </c>
      <c r="D134" s="621"/>
      <c r="E134" s="621"/>
      <c r="F134" s="621"/>
      <c r="G134" s="621"/>
      <c r="H134" s="621"/>
      <c r="I134" s="621"/>
      <c r="J134" s="556"/>
      <c r="L134" s="864"/>
    </row>
    <row r="135" spans="1:12" ht="12.15" customHeight="1" thickBot="1" x14ac:dyDescent="0.3">
      <c r="A135" s="878"/>
      <c r="B135" s="621"/>
      <c r="C135" s="621"/>
      <c r="D135" s="621"/>
      <c r="E135" s="621"/>
      <c r="F135" s="621"/>
      <c r="G135" s="621"/>
      <c r="H135" s="621"/>
      <c r="I135" s="621"/>
      <c r="J135" s="556"/>
      <c r="L135" s="864"/>
    </row>
    <row r="136" spans="1:12" ht="12.15" customHeight="1" thickBot="1" x14ac:dyDescent="0.3">
      <c r="A136" s="619" t="s">
        <v>457</v>
      </c>
      <c r="B136" s="620"/>
      <c r="C136" s="621" t="s">
        <v>1302</v>
      </c>
      <c r="D136" s="621"/>
      <c r="E136" s="621"/>
      <c r="F136" s="621"/>
      <c r="G136" s="621"/>
      <c r="H136" s="621"/>
      <c r="I136" s="621"/>
      <c r="J136" s="557">
        <f>'Maximum Rates'!D11</f>
        <v>60</v>
      </c>
      <c r="K136" s="870">
        <v>2</v>
      </c>
      <c r="L136" s="864">
        <f>(J136*K136)</f>
        <v>120</v>
      </c>
    </row>
    <row r="137" spans="1:12" ht="12.15" customHeight="1" thickBot="1" x14ac:dyDescent="0.3">
      <c r="A137" s="878"/>
      <c r="B137" s="621"/>
      <c r="C137" s="621" t="s">
        <v>22</v>
      </c>
      <c r="D137" s="621"/>
      <c r="E137" s="621"/>
      <c r="F137" s="621"/>
      <c r="G137" s="621"/>
      <c r="H137" s="621"/>
      <c r="I137" s="621"/>
      <c r="J137" s="827"/>
      <c r="L137" s="864"/>
    </row>
    <row r="138" spans="1:12" s="882" customFormat="1" ht="13.95" customHeight="1" thickBot="1" x14ac:dyDescent="0.3">
      <c r="A138" s="879"/>
      <c r="B138" s="880"/>
      <c r="C138" s="880"/>
      <c r="D138" s="881"/>
      <c r="E138" s="881"/>
      <c r="F138" s="880"/>
      <c r="G138" s="622" t="s">
        <v>1030</v>
      </c>
      <c r="H138" s="623"/>
      <c r="I138" s="623"/>
      <c r="J138" s="623"/>
      <c r="K138" s="623"/>
      <c r="L138" s="559">
        <f>SUM(L123:L136)</f>
        <v>2278</v>
      </c>
    </row>
    <row r="139" spans="1:12" ht="12.15" customHeight="1" x14ac:dyDescent="0.25"/>
    <row r="140" spans="1:12" ht="12.15" customHeight="1" x14ac:dyDescent="0.25"/>
    <row r="141" spans="1:12" ht="12.15" customHeight="1" x14ac:dyDescent="0.25"/>
    <row r="144" spans="1:12" x14ac:dyDescent="0.25">
      <c r="G144" s="936"/>
    </row>
  </sheetData>
  <sheetProtection algorithmName="SHA-512" hashValue="X+PQH+dSYjEr01mxxpIk0vhbs60W/gFaIHpvaLRIhL2fwfQnHYDr4qvunmjUSfLuFVgfhjuy9/iP64mM74Ko9Q==" saltValue="D+dnqq8HQv1gt18kzG4PSg==" spinCount="100000" sheet="1" objects="1" scenarios="1" selectLockedCells="1"/>
  <customSheetViews>
    <customSheetView guid="{BC429C65-53B8-4F97-88D2-74ECCD734800}" scale="90" showGridLines="0" showRowCol="0" state="hidden">
      <selection activeCell="B4" sqref="B4:L4"/>
      <rowBreaks count="1" manualBreakCount="1">
        <brk id="53" min="1" max="11" man="1"/>
      </rowBreaks>
      <pageMargins left="0.25" right="0.25" top="0.75" bottom="0.25" header="0.17" footer="0.17"/>
      <printOptions horizontalCentered="1"/>
      <pageSetup scale="98" fitToHeight="2" orientation="portrait" r:id="rId1"/>
      <headerFooter alignWithMargins="0"/>
    </customSheetView>
  </customSheetViews>
  <mergeCells count="2">
    <mergeCell ref="A19:L19"/>
    <mergeCell ref="A72:L72"/>
  </mergeCells>
  <phoneticPr fontId="4" type="noConversion"/>
  <printOptions horizontalCentered="1"/>
  <pageMargins left="0.25" right="0.25" top="0.75" bottom="0.25" header="0.17" footer="0.5"/>
  <pageSetup fitToHeight="2" orientation="portrait" r:id="rId2"/>
  <headerFooter alignWithMargins="0">
    <oddHeader>&amp;C&amp;18Units for Secondary Activities</oddHeader>
  </headerFooter>
  <rowBreaks count="1" manualBreakCount="1">
    <brk id="52"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tabColor theme="3" tint="0.79998168889431442"/>
  </sheetPr>
  <dimension ref="A1:M102"/>
  <sheetViews>
    <sheetView showGridLines="0" showRowColHeaders="0" showRuler="0" view="pageLayout" zoomScaleNormal="90" workbookViewId="0">
      <selection activeCell="E8" sqref="E8:I10"/>
    </sheetView>
  </sheetViews>
  <sheetFormatPr defaultColWidth="11.44140625" defaultRowHeight="13.2" x14ac:dyDescent="0.25"/>
  <cols>
    <col min="1" max="10" width="8.5546875" customWidth="1"/>
    <col min="11" max="11" width="8.5546875" style="546" customWidth="1"/>
    <col min="12" max="12" width="8.5546875" style="24" customWidth="1"/>
    <col min="13" max="13" width="15" customWidth="1"/>
  </cols>
  <sheetData>
    <row r="1" spans="1:13" ht="18" customHeight="1" x14ac:dyDescent="0.4">
      <c r="A1" s="875" t="s">
        <v>812</v>
      </c>
      <c r="B1" s="876"/>
      <c r="C1" s="876"/>
      <c r="D1" s="876"/>
      <c r="E1" s="876"/>
      <c r="F1" s="876"/>
      <c r="G1" s="876"/>
      <c r="H1" s="876"/>
      <c r="I1" s="876"/>
      <c r="J1" s="876"/>
      <c r="K1" s="876"/>
      <c r="L1" s="877"/>
      <c r="M1" s="1"/>
    </row>
    <row r="2" spans="1:13" ht="12.15" customHeight="1" thickBot="1" x14ac:dyDescent="0.35">
      <c r="A2" s="10"/>
      <c r="D2" s="16"/>
      <c r="L2" s="25"/>
    </row>
    <row r="3" spans="1:13" ht="12.15" customHeight="1" thickBot="1" x14ac:dyDescent="0.3">
      <c r="A3" s="12" t="s">
        <v>453</v>
      </c>
      <c r="B3" s="2"/>
      <c r="C3" t="s">
        <v>526</v>
      </c>
      <c r="J3" s="8">
        <f>'Maximum Rates'!D5</f>
        <v>122</v>
      </c>
      <c r="K3" s="551">
        <v>1</v>
      </c>
      <c r="L3" s="25">
        <f>(J3*K3)</f>
        <v>122</v>
      </c>
    </row>
    <row r="4" spans="1:13" ht="12.15" customHeight="1" x14ac:dyDescent="0.25">
      <c r="A4" s="10"/>
      <c r="C4" s="44" t="s">
        <v>810</v>
      </c>
      <c r="J4" s="8"/>
      <c r="L4" s="25"/>
    </row>
    <row r="5" spans="1:13" ht="12.15" customHeight="1" thickBot="1" x14ac:dyDescent="0.3">
      <c r="A5" s="10"/>
      <c r="C5" t="s">
        <v>22</v>
      </c>
      <c r="J5" s="8"/>
      <c r="L5" s="25"/>
    </row>
    <row r="6" spans="1:13" ht="12.15" customHeight="1" thickBot="1" x14ac:dyDescent="0.3">
      <c r="A6" s="12" t="s">
        <v>454</v>
      </c>
      <c r="B6" s="2"/>
      <c r="C6" t="s">
        <v>502</v>
      </c>
      <c r="J6" s="8">
        <f>'Maximum Rates'!D6</f>
        <v>140</v>
      </c>
      <c r="K6" s="551">
        <v>1</v>
      </c>
      <c r="L6" s="25">
        <f>(J6*K6)</f>
        <v>140</v>
      </c>
    </row>
    <row r="7" spans="1:13" ht="12.15" customHeight="1" x14ac:dyDescent="0.25">
      <c r="A7" s="10"/>
      <c r="C7" t="s">
        <v>22</v>
      </c>
      <c r="J7" s="8"/>
      <c r="L7" s="25"/>
    </row>
    <row r="8" spans="1:13" ht="12.15" customHeight="1" thickBot="1" x14ac:dyDescent="0.3">
      <c r="A8" s="10"/>
      <c r="J8" s="8"/>
      <c r="L8" s="25"/>
    </row>
    <row r="9" spans="1:13" ht="12.15" customHeight="1" thickBot="1" x14ac:dyDescent="0.3">
      <c r="A9" s="12" t="s">
        <v>455</v>
      </c>
      <c r="B9" s="2"/>
      <c r="C9" s="44" t="s">
        <v>1107</v>
      </c>
      <c r="J9" s="8">
        <f>'Maximum Rates'!D7</f>
        <v>102</v>
      </c>
      <c r="K9" s="551">
        <v>2</v>
      </c>
      <c r="L9" s="25">
        <f>(J9*K9)</f>
        <v>204</v>
      </c>
    </row>
    <row r="10" spans="1:13" ht="12.15" customHeight="1" x14ac:dyDescent="0.25">
      <c r="A10" s="12" t="s">
        <v>218</v>
      </c>
      <c r="B10" s="2"/>
      <c r="C10" t="s">
        <v>22</v>
      </c>
      <c r="J10" s="8"/>
      <c r="L10" s="25"/>
    </row>
    <row r="11" spans="1:13" ht="12.15" customHeight="1" thickBot="1" x14ac:dyDescent="0.3">
      <c r="A11" s="10"/>
      <c r="J11" s="8"/>
      <c r="L11" s="25"/>
    </row>
    <row r="12" spans="1:13" ht="12.15" customHeight="1" thickBot="1" x14ac:dyDescent="0.3">
      <c r="A12" s="12" t="s">
        <v>456</v>
      </c>
      <c r="B12" s="2"/>
      <c r="C12" t="s">
        <v>468</v>
      </c>
      <c r="J12" s="8">
        <f>'Maximum Rates'!D10</f>
        <v>74</v>
      </c>
      <c r="K12" s="551">
        <v>0</v>
      </c>
      <c r="L12" s="25">
        <f>(J12*K12)</f>
        <v>0</v>
      </c>
    </row>
    <row r="13" spans="1:13" ht="12.15" customHeight="1" x14ac:dyDescent="0.25">
      <c r="A13" s="10"/>
      <c r="C13" t="s">
        <v>397</v>
      </c>
      <c r="J13" s="8"/>
      <c r="L13" s="25"/>
    </row>
    <row r="14" spans="1:13" ht="12.15" customHeight="1" thickBot="1" x14ac:dyDescent="0.3">
      <c r="A14" s="10"/>
      <c r="C14" t="s">
        <v>22</v>
      </c>
      <c r="J14" s="8"/>
      <c r="L14" s="25"/>
    </row>
    <row r="15" spans="1:13" ht="12.15" customHeight="1" thickBot="1" x14ac:dyDescent="0.3">
      <c r="A15" s="12" t="s">
        <v>457</v>
      </c>
      <c r="B15" s="2"/>
      <c r="C15" s="44" t="s">
        <v>125</v>
      </c>
      <c r="J15" s="8">
        <f>'Maximum Rates'!D11</f>
        <v>60</v>
      </c>
      <c r="K15" s="551">
        <v>2</v>
      </c>
      <c r="L15" s="25">
        <f>(J15*K15)</f>
        <v>120</v>
      </c>
    </row>
    <row r="16" spans="1:13" ht="12.15" customHeight="1" thickBot="1" x14ac:dyDescent="0.3">
      <c r="A16" s="10"/>
      <c r="C16" t="s">
        <v>22</v>
      </c>
      <c r="L16" s="25"/>
    </row>
    <row r="17" spans="1:12" ht="12.15" customHeight="1" thickBot="1" x14ac:dyDescent="0.3">
      <c r="A17" s="13"/>
      <c r="B17" s="14"/>
      <c r="C17" s="14"/>
      <c r="D17" s="14"/>
      <c r="E17" s="14"/>
      <c r="F17" s="14"/>
      <c r="G17" s="914" t="s">
        <v>501</v>
      </c>
      <c r="H17" s="564"/>
      <c r="I17" s="564"/>
      <c r="J17" s="564"/>
      <c r="K17" s="548"/>
      <c r="L17" s="568">
        <f>SUM(L3:L16)</f>
        <v>586</v>
      </c>
    </row>
    <row r="18" spans="1:12" ht="12.15" customHeight="1" thickBot="1" x14ac:dyDescent="0.45">
      <c r="F18" s="1"/>
    </row>
    <row r="19" spans="1:12" ht="18" customHeight="1" x14ac:dyDescent="0.25">
      <c r="A19" s="875" t="s">
        <v>394</v>
      </c>
      <c r="B19" s="937"/>
      <c r="C19" s="937"/>
      <c r="D19" s="937"/>
      <c r="E19" s="876"/>
      <c r="F19" s="937"/>
      <c r="G19" s="937"/>
      <c r="H19" s="937"/>
      <c r="I19" s="937"/>
      <c r="J19" s="937"/>
      <c r="K19" s="937"/>
      <c r="L19" s="938"/>
    </row>
    <row r="20" spans="1:12" ht="12.15" customHeight="1" thickBot="1" x14ac:dyDescent="0.35">
      <c r="A20" s="10"/>
      <c r="D20" s="16"/>
      <c r="L20" s="25"/>
    </row>
    <row r="21" spans="1:12" ht="12.15" customHeight="1" thickBot="1" x14ac:dyDescent="0.3">
      <c r="A21" s="12" t="s">
        <v>453</v>
      </c>
      <c r="B21" s="2"/>
      <c r="C21" t="s">
        <v>526</v>
      </c>
      <c r="J21" s="8">
        <f>'Maximum Rates'!D5</f>
        <v>122</v>
      </c>
      <c r="K21" s="551">
        <v>2</v>
      </c>
      <c r="L21" s="25">
        <f>(J21*K21)</f>
        <v>244</v>
      </c>
    </row>
    <row r="22" spans="1:12" ht="12.15" customHeight="1" x14ac:dyDescent="0.25">
      <c r="A22" s="10"/>
      <c r="C22" s="44" t="s">
        <v>48</v>
      </c>
      <c r="J22" s="8"/>
      <c r="L22" s="25"/>
    </row>
    <row r="23" spans="1:12" ht="12.15" customHeight="1" x14ac:dyDescent="0.25">
      <c r="A23" s="10"/>
      <c r="J23" s="8"/>
      <c r="L23" s="25"/>
    </row>
    <row r="24" spans="1:12" ht="12.15" customHeight="1" thickBot="1" x14ac:dyDescent="0.3">
      <c r="A24" s="547"/>
      <c r="B24" s="546"/>
      <c r="C24" t="s">
        <v>22</v>
      </c>
      <c r="J24" s="8"/>
      <c r="L24" s="25"/>
    </row>
    <row r="25" spans="1:12" ht="12.15" customHeight="1" thickBot="1" x14ac:dyDescent="0.3">
      <c r="A25" s="12" t="s">
        <v>454</v>
      </c>
      <c r="B25" s="2"/>
      <c r="C25" t="s">
        <v>442</v>
      </c>
      <c r="J25" s="8">
        <f>'Maximum Rates'!D6</f>
        <v>140</v>
      </c>
      <c r="K25" s="551">
        <v>1</v>
      </c>
      <c r="L25" s="25">
        <f>(J25*K25)</f>
        <v>140</v>
      </c>
    </row>
    <row r="26" spans="1:12" ht="12.15" customHeight="1" x14ac:dyDescent="0.25">
      <c r="A26" s="10"/>
      <c r="C26" t="s">
        <v>22</v>
      </c>
      <c r="J26" s="8"/>
      <c r="L26" s="25"/>
    </row>
    <row r="27" spans="1:12" ht="12.15" customHeight="1" thickBot="1" x14ac:dyDescent="0.3">
      <c r="A27" s="10"/>
      <c r="J27" s="8"/>
      <c r="L27" s="25"/>
    </row>
    <row r="28" spans="1:12" ht="12.15" customHeight="1" thickBot="1" x14ac:dyDescent="0.3">
      <c r="A28" s="12" t="s">
        <v>455</v>
      </c>
      <c r="B28" s="2"/>
      <c r="C28" s="48" t="s">
        <v>36</v>
      </c>
      <c r="J28" s="8">
        <f>'Maximum Rates'!D7</f>
        <v>102</v>
      </c>
      <c r="K28" s="551">
        <v>6</v>
      </c>
      <c r="L28" s="25">
        <f>(J28*K28)</f>
        <v>612</v>
      </c>
    </row>
    <row r="29" spans="1:12" ht="12.15" customHeight="1" x14ac:dyDescent="0.25">
      <c r="A29" s="12" t="s">
        <v>218</v>
      </c>
      <c r="B29" s="2"/>
      <c r="C29" t="s">
        <v>22</v>
      </c>
      <c r="J29" s="8"/>
      <c r="L29" s="25"/>
    </row>
    <row r="30" spans="1:12" ht="12.15" customHeight="1" thickBot="1" x14ac:dyDescent="0.3">
      <c r="A30" s="10"/>
      <c r="J30" s="8"/>
      <c r="L30" s="25"/>
    </row>
    <row r="31" spans="1:12" ht="12.15" customHeight="1" thickBot="1" x14ac:dyDescent="0.3">
      <c r="A31" s="12" t="s">
        <v>456</v>
      </c>
      <c r="B31" s="2"/>
      <c r="C31" t="s">
        <v>468</v>
      </c>
      <c r="J31" s="8">
        <f>'Maximum Rates'!D10</f>
        <v>74</v>
      </c>
      <c r="K31" s="551">
        <v>2</v>
      </c>
      <c r="L31" s="25">
        <f>(J31*K31)</f>
        <v>148</v>
      </c>
    </row>
    <row r="32" spans="1:12" ht="12.15" customHeight="1" x14ac:dyDescent="0.25">
      <c r="A32" s="10"/>
      <c r="C32" t="s">
        <v>397</v>
      </c>
      <c r="J32" s="8"/>
      <c r="L32" s="25"/>
    </row>
    <row r="33" spans="1:12" ht="12.15" customHeight="1" thickBot="1" x14ac:dyDescent="0.3">
      <c r="A33" s="10"/>
      <c r="C33" t="s">
        <v>22</v>
      </c>
      <c r="J33" s="8"/>
      <c r="L33" s="25"/>
    </row>
    <row r="34" spans="1:12" ht="12.15" customHeight="1" thickBot="1" x14ac:dyDescent="0.3">
      <c r="A34" s="12" t="s">
        <v>457</v>
      </c>
      <c r="B34" s="2"/>
      <c r="C34" s="44" t="s">
        <v>811</v>
      </c>
      <c r="J34" s="8">
        <f>'Maximum Rates'!D11</f>
        <v>60</v>
      </c>
      <c r="K34" s="551">
        <v>4</v>
      </c>
      <c r="L34" s="25">
        <f>(J34*K34)</f>
        <v>240</v>
      </c>
    </row>
    <row r="35" spans="1:12" ht="12.15" customHeight="1" thickBot="1" x14ac:dyDescent="0.3">
      <c r="A35" s="10"/>
      <c r="C35" t="s">
        <v>22</v>
      </c>
      <c r="L35" s="25"/>
    </row>
    <row r="36" spans="1:12" ht="12.15" customHeight="1" thickBot="1" x14ac:dyDescent="0.3">
      <c r="A36" s="13"/>
      <c r="B36" s="14"/>
      <c r="C36" s="14"/>
      <c r="D36" s="14"/>
      <c r="E36" s="14"/>
      <c r="F36" s="14"/>
      <c r="G36" s="914" t="s">
        <v>782</v>
      </c>
      <c r="H36" s="564"/>
      <c r="I36" s="564"/>
      <c r="J36" s="564"/>
      <c r="K36" s="548"/>
      <c r="L36" s="568">
        <f>SUM(L21:L35)</f>
        <v>1384</v>
      </c>
    </row>
    <row r="37" spans="1:12" ht="12.15" customHeight="1" thickBot="1" x14ac:dyDescent="0.3">
      <c r="A37" s="29"/>
      <c r="B37" s="29"/>
      <c r="L37" s="65"/>
    </row>
    <row r="38" spans="1:12" ht="12.15" customHeight="1" thickBot="1" x14ac:dyDescent="0.3">
      <c r="A38" s="20" t="s">
        <v>1102</v>
      </c>
      <c r="B38" s="21"/>
      <c r="C38" s="21"/>
      <c r="D38" s="7"/>
      <c r="E38" s="7"/>
      <c r="F38" s="7"/>
      <c r="G38" s="565" t="s">
        <v>1033</v>
      </c>
      <c r="H38" s="632"/>
      <c r="I38" s="564"/>
      <c r="J38" s="564"/>
      <c r="K38" s="548"/>
      <c r="L38" s="5">
        <f>SUM(D39+G39)</f>
        <v>44</v>
      </c>
    </row>
    <row r="39" spans="1:12" ht="12.15" customHeight="1" thickBot="1" x14ac:dyDescent="0.3">
      <c r="A39" s="566" t="s">
        <v>608</v>
      </c>
      <c r="B39" s="567"/>
      <c r="C39" s="551">
        <v>0.25</v>
      </c>
      <c r="D39" s="571">
        <f>(C39)*('Maximum Rates'!$D$7)</f>
        <v>25.5</v>
      </c>
      <c r="E39" s="569" t="s">
        <v>444</v>
      </c>
      <c r="F39" s="551">
        <v>0.25</v>
      </c>
      <c r="G39" s="19">
        <f>(F39)*('Maximum Rates'!$D$10)</f>
        <v>18.5</v>
      </c>
      <c r="H39" s="19"/>
      <c r="I39" s="437"/>
      <c r="J39" s="19"/>
      <c r="K39" s="516"/>
      <c r="L39" s="438"/>
    </row>
    <row r="40" spans="1:12" ht="12.15" customHeight="1" thickBot="1" x14ac:dyDescent="0.3">
      <c r="A40" s="21"/>
      <c r="B40" s="21"/>
      <c r="E40" s="2"/>
      <c r="J40" s="3"/>
      <c r="L40" s="26"/>
    </row>
    <row r="41" spans="1:12" ht="18" customHeight="1" x14ac:dyDescent="0.25">
      <c r="A41" s="875" t="s">
        <v>470</v>
      </c>
      <c r="B41" s="876"/>
      <c r="C41" s="876"/>
      <c r="D41" s="876"/>
      <c r="E41" s="876"/>
      <c r="F41" s="876"/>
      <c r="G41" s="876"/>
      <c r="H41" s="876"/>
      <c r="I41" s="876"/>
      <c r="J41" s="876"/>
      <c r="K41" s="876"/>
      <c r="L41" s="877"/>
    </row>
    <row r="42" spans="1:12" ht="12.15" customHeight="1" thickBot="1" x14ac:dyDescent="0.35">
      <c r="A42" s="10"/>
      <c r="D42" s="16"/>
      <c r="L42" s="25"/>
    </row>
    <row r="43" spans="1:12" ht="12.15" customHeight="1" thickBot="1" x14ac:dyDescent="0.3">
      <c r="A43" s="12" t="s">
        <v>453</v>
      </c>
      <c r="B43" s="2"/>
      <c r="C43" t="s">
        <v>526</v>
      </c>
      <c r="J43" s="8">
        <f>'Maximum Rates'!D5</f>
        <v>122</v>
      </c>
      <c r="K43" s="551">
        <v>2</v>
      </c>
      <c r="L43" s="25">
        <f>(J43*K43)</f>
        <v>244</v>
      </c>
    </row>
    <row r="44" spans="1:12" ht="12.15" customHeight="1" x14ac:dyDescent="0.25">
      <c r="A44" s="10"/>
      <c r="C44" s="44" t="s">
        <v>48</v>
      </c>
      <c r="J44" s="8"/>
      <c r="L44" s="25"/>
    </row>
    <row r="45" spans="1:12" ht="12.15" customHeight="1" x14ac:dyDescent="0.25">
      <c r="A45" s="10"/>
      <c r="J45" s="8"/>
      <c r="L45" s="25"/>
    </row>
    <row r="46" spans="1:12" ht="12.15" customHeight="1" thickBot="1" x14ac:dyDescent="0.3">
      <c r="A46" s="547"/>
      <c r="B46" s="546"/>
      <c r="C46" t="s">
        <v>22</v>
      </c>
      <c r="J46" s="8"/>
      <c r="L46" s="25"/>
    </row>
    <row r="47" spans="1:12" ht="12.15" customHeight="1" thickBot="1" x14ac:dyDescent="0.3">
      <c r="A47" s="12" t="s">
        <v>454</v>
      </c>
      <c r="B47" s="2"/>
      <c r="C47" t="s">
        <v>467</v>
      </c>
      <c r="J47" s="8">
        <f>'Maximum Rates'!D6</f>
        <v>140</v>
      </c>
      <c r="K47" s="551">
        <v>1</v>
      </c>
      <c r="L47" s="25">
        <f>(J47*K47)</f>
        <v>140</v>
      </c>
    </row>
    <row r="48" spans="1:12" ht="12.15" customHeight="1" x14ac:dyDescent="0.25">
      <c r="A48" s="10"/>
      <c r="C48" t="s">
        <v>22</v>
      </c>
      <c r="J48" s="8"/>
      <c r="L48" s="25"/>
    </row>
    <row r="49" spans="1:12" ht="12.15" customHeight="1" thickBot="1" x14ac:dyDescent="0.3">
      <c r="A49" s="10"/>
      <c r="J49" s="8"/>
      <c r="L49" s="25"/>
    </row>
    <row r="50" spans="1:12" ht="12.15" customHeight="1" thickBot="1" x14ac:dyDescent="0.3">
      <c r="A50" s="12" t="s">
        <v>455</v>
      </c>
      <c r="B50" s="2"/>
      <c r="C50" s="48" t="s">
        <v>37</v>
      </c>
      <c r="J50" s="8">
        <f>'Maximum Rates'!D7</f>
        <v>102</v>
      </c>
      <c r="K50" s="551">
        <v>8</v>
      </c>
      <c r="L50" s="25">
        <f>(J50*K50)</f>
        <v>816</v>
      </c>
    </row>
    <row r="51" spans="1:12" ht="12.15" customHeight="1" x14ac:dyDescent="0.25">
      <c r="A51" s="12" t="s">
        <v>218</v>
      </c>
      <c r="B51" s="2"/>
      <c r="C51" t="s">
        <v>22</v>
      </c>
      <c r="J51" s="8"/>
      <c r="L51" s="25"/>
    </row>
    <row r="52" spans="1:12" ht="12.15" customHeight="1" thickBot="1" x14ac:dyDescent="0.3">
      <c r="A52" s="10"/>
      <c r="J52" s="8"/>
      <c r="L52" s="25"/>
    </row>
    <row r="53" spans="1:12" ht="12.15" customHeight="1" thickBot="1" x14ac:dyDescent="0.3">
      <c r="A53" s="12" t="s">
        <v>456</v>
      </c>
      <c r="B53" s="2"/>
      <c r="C53" t="s">
        <v>468</v>
      </c>
      <c r="J53" s="8">
        <f>'Maximum Rates'!D10</f>
        <v>74</v>
      </c>
      <c r="K53" s="551">
        <v>3</v>
      </c>
      <c r="L53" s="25">
        <f>(J53*K53)</f>
        <v>222</v>
      </c>
    </row>
    <row r="54" spans="1:12" ht="12.15" customHeight="1" x14ac:dyDescent="0.25">
      <c r="A54" s="10"/>
      <c r="C54" t="s">
        <v>397</v>
      </c>
      <c r="J54" s="8"/>
      <c r="L54" s="25"/>
    </row>
    <row r="55" spans="1:12" ht="12.15" customHeight="1" thickBot="1" x14ac:dyDescent="0.3">
      <c r="A55" s="10"/>
      <c r="C55" t="s">
        <v>22</v>
      </c>
      <c r="J55" s="8"/>
      <c r="L55" s="25"/>
    </row>
    <row r="56" spans="1:12" ht="12.15" customHeight="1" thickBot="1" x14ac:dyDescent="0.3">
      <c r="A56" s="12" t="s">
        <v>457</v>
      </c>
      <c r="B56" s="2"/>
      <c r="C56" s="44" t="s">
        <v>811</v>
      </c>
      <c r="J56" s="8">
        <f>'Maximum Rates'!D11</f>
        <v>60</v>
      </c>
      <c r="K56" s="551">
        <v>4</v>
      </c>
      <c r="L56" s="25">
        <f>(J56*K56)</f>
        <v>240</v>
      </c>
    </row>
    <row r="57" spans="1:12" ht="12.15" customHeight="1" thickBot="1" x14ac:dyDescent="0.3">
      <c r="A57" s="10"/>
      <c r="C57" t="s">
        <v>22</v>
      </c>
      <c r="L57" s="25"/>
    </row>
    <row r="58" spans="1:12" ht="12.15" customHeight="1" thickBot="1" x14ac:dyDescent="0.3">
      <c r="A58" s="13"/>
      <c r="B58" s="14"/>
      <c r="C58" s="14"/>
      <c r="D58" s="14"/>
      <c r="E58" s="14"/>
      <c r="F58" s="563" t="s">
        <v>783</v>
      </c>
      <c r="G58" s="564"/>
      <c r="H58" s="564"/>
      <c r="I58" s="564"/>
      <c r="J58" s="564"/>
      <c r="K58" s="548"/>
      <c r="L58" s="568">
        <f>SUM(L43:L57)</f>
        <v>1662</v>
      </c>
    </row>
    <row r="59" spans="1:12" ht="12" customHeight="1" x14ac:dyDescent="0.25">
      <c r="K59"/>
      <c r="L59"/>
    </row>
    <row r="60" spans="1:12" ht="12.15" customHeight="1" x14ac:dyDescent="0.25">
      <c r="K60"/>
      <c r="L60"/>
    </row>
    <row r="61" spans="1:12" ht="12.15" customHeight="1" x14ac:dyDescent="0.25">
      <c r="K61"/>
      <c r="L61"/>
    </row>
    <row r="62" spans="1:12" ht="12.15" customHeight="1" thickBot="1" x14ac:dyDescent="0.3">
      <c r="K62"/>
      <c r="L62"/>
    </row>
    <row r="63" spans="1:12" ht="12.15" customHeight="1" thickBot="1" x14ac:dyDescent="0.3">
      <c r="A63" s="600" t="s">
        <v>1103</v>
      </c>
      <c r="B63" s="601"/>
      <c r="C63" s="21"/>
      <c r="D63" s="7"/>
      <c r="E63" s="7"/>
      <c r="F63" s="565" t="s">
        <v>1034</v>
      </c>
      <c r="G63" s="564"/>
      <c r="H63" s="564"/>
      <c r="I63" s="564"/>
      <c r="J63" s="564"/>
      <c r="K63" s="548"/>
      <c r="L63" s="27">
        <f>SUM(D64+G64)</f>
        <v>61.599999999999994</v>
      </c>
    </row>
    <row r="64" spans="1:12" ht="12.15" customHeight="1" thickBot="1" x14ac:dyDescent="0.3">
      <c r="A64" s="566" t="s">
        <v>608</v>
      </c>
      <c r="B64" s="567"/>
      <c r="C64" s="551">
        <v>0.35</v>
      </c>
      <c r="D64" s="571">
        <f>(C64)*('Maximum Rates'!$D$7)</f>
        <v>35.699999999999996</v>
      </c>
      <c r="E64" s="570" t="s">
        <v>444</v>
      </c>
      <c r="F64" s="4">
        <v>0.35</v>
      </c>
      <c r="G64" s="19">
        <f>(F64)*('Maximum Rates'!$D$10)</f>
        <v>25.9</v>
      </c>
      <c r="H64" s="19"/>
      <c r="I64" s="437"/>
      <c r="J64" s="19"/>
      <c r="K64" s="516"/>
      <c r="L64" s="438"/>
    </row>
    <row r="65" spans="1:12" ht="12.15" customHeight="1" x14ac:dyDescent="0.25">
      <c r="A65" s="21"/>
      <c r="B65" s="21"/>
      <c r="E65" s="2"/>
      <c r="J65" s="3"/>
      <c r="L65" s="26"/>
    </row>
    <row r="66" spans="1:12" ht="12.15" customHeight="1" x14ac:dyDescent="0.25"/>
    <row r="67" spans="1:12" ht="12.15" customHeight="1" x14ac:dyDescent="0.25"/>
    <row r="68" spans="1:12" ht="12.15" customHeight="1" x14ac:dyDescent="0.25">
      <c r="A68" s="44" t="s">
        <v>1032</v>
      </c>
    </row>
    <row r="69" spans="1:12" ht="12.15" customHeight="1" x14ac:dyDescent="0.25"/>
    <row r="70" spans="1:12" ht="12.15" customHeight="1" x14ac:dyDescent="0.25"/>
    <row r="71" spans="1:12" ht="12.15" customHeight="1" x14ac:dyDescent="0.25"/>
    <row r="72" spans="1:12" ht="12.15" customHeight="1" x14ac:dyDescent="0.25"/>
    <row r="73" spans="1:12" ht="12.15" customHeight="1" x14ac:dyDescent="0.25"/>
    <row r="74" spans="1:12" ht="12.15" customHeight="1" x14ac:dyDescent="0.25"/>
    <row r="75" spans="1:12" ht="12.15" customHeight="1" x14ac:dyDescent="0.25"/>
    <row r="76" spans="1:12" ht="12.15" customHeight="1" x14ac:dyDescent="0.25"/>
    <row r="77" spans="1:12" ht="12.15" customHeight="1" x14ac:dyDescent="0.25"/>
    <row r="78" spans="1:12" ht="12.15" customHeight="1" x14ac:dyDescent="0.25"/>
    <row r="79" spans="1:12" ht="12.15" customHeight="1" x14ac:dyDescent="0.25"/>
    <row r="80" spans="1:12" ht="12.15" customHeight="1" x14ac:dyDescent="0.25"/>
    <row r="81" ht="12.15" customHeight="1" x14ac:dyDescent="0.25"/>
    <row r="82" ht="12.15" customHeight="1" x14ac:dyDescent="0.25"/>
    <row r="83" ht="12.15" customHeight="1" x14ac:dyDescent="0.25"/>
    <row r="84" ht="12.15" customHeight="1" x14ac:dyDescent="0.25"/>
    <row r="85" ht="12.15" customHeight="1" x14ac:dyDescent="0.25"/>
    <row r="86" ht="12.15" customHeight="1" x14ac:dyDescent="0.25"/>
    <row r="87" ht="12.15" customHeight="1" x14ac:dyDescent="0.25"/>
    <row r="88" ht="12.15" customHeight="1" x14ac:dyDescent="0.25"/>
    <row r="89" ht="12.15" customHeight="1" x14ac:dyDescent="0.25"/>
    <row r="90" ht="12.15" customHeight="1" x14ac:dyDescent="0.25"/>
    <row r="91" ht="12.15" customHeight="1" x14ac:dyDescent="0.25"/>
    <row r="92" ht="12.15" customHeight="1" x14ac:dyDescent="0.25"/>
    <row r="93" ht="12.15" customHeight="1" x14ac:dyDescent="0.25"/>
    <row r="94" ht="12.15" customHeight="1" x14ac:dyDescent="0.25"/>
    <row r="95" ht="12.15" customHeight="1" x14ac:dyDescent="0.25"/>
    <row r="96" ht="12.15" customHeight="1" x14ac:dyDescent="0.25"/>
    <row r="97" ht="12.15" customHeight="1" x14ac:dyDescent="0.25"/>
    <row r="98" ht="12.15" customHeight="1" x14ac:dyDescent="0.25"/>
    <row r="99" ht="12.15" customHeight="1" x14ac:dyDescent="0.25"/>
    <row r="100" ht="12.15" customHeight="1" x14ac:dyDescent="0.25"/>
    <row r="101" ht="12.15" customHeight="1" x14ac:dyDescent="0.25"/>
    <row r="102" ht="12.15" customHeight="1" x14ac:dyDescent="0.25"/>
  </sheetData>
  <sheetProtection password="DC01" sheet="1" objects="1" scenarios="1" selectLockedCells="1"/>
  <customSheetViews>
    <customSheetView guid="{BC429C65-53B8-4F97-88D2-74ECCD734800}" scale="90" showGridLines="0" showRowCol="0" state="hidden">
      <selection activeCell="B4" sqref="B4:L4"/>
      <rowBreaks count="1" manualBreakCount="1">
        <brk id="41" max="16383" man="1"/>
      </rowBreaks>
      <pageMargins left="0.25" right="0.25" top="1" bottom="0.25" header="0.5" footer="0.5"/>
      <pageSetup orientation="portrait" r:id="rId1"/>
      <headerFooter alignWithMargins="0"/>
    </customSheetView>
  </customSheetViews>
  <phoneticPr fontId="4" type="noConversion"/>
  <printOptions horizontalCentered="1"/>
  <pageMargins left="0.25" right="0.25" top="0.75" bottom="0.25" header="0.17" footer="0.5"/>
  <pageSetup orientation="portrait" r:id="rId2"/>
  <headerFooter alignWithMargins="0">
    <oddHeader>&amp;C&amp;18Units for NAMR/GWM Activities</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tabColor theme="3" tint="0.79998168889431442"/>
  </sheetPr>
  <dimension ref="A1:L161"/>
  <sheetViews>
    <sheetView showGridLines="0" showRowColHeaders="0" showRuler="0" view="pageLayout" zoomScaleNormal="100" workbookViewId="0">
      <selection activeCell="E8" sqref="E8:I10"/>
    </sheetView>
  </sheetViews>
  <sheetFormatPr defaultColWidth="11.33203125" defaultRowHeight="13.2" x14ac:dyDescent="0.25"/>
  <cols>
    <col min="1" max="10" width="8.44140625" customWidth="1"/>
    <col min="11" max="11" width="8" style="594" customWidth="1"/>
    <col min="12" max="12" width="9.109375" customWidth="1"/>
  </cols>
  <sheetData>
    <row r="1" spans="1:12" ht="18" customHeight="1" x14ac:dyDescent="0.25">
      <c r="A1" s="875" t="s">
        <v>1161</v>
      </c>
      <c r="B1" s="876"/>
      <c r="C1" s="876"/>
      <c r="D1" s="876"/>
      <c r="E1" s="876"/>
      <c r="F1" s="876"/>
      <c r="G1" s="876"/>
      <c r="H1" s="876"/>
      <c r="I1" s="876"/>
      <c r="J1" s="876"/>
      <c r="K1" s="876"/>
      <c r="L1" s="877"/>
    </row>
    <row r="2" spans="1:12" ht="12.15" customHeight="1" thickBot="1" x14ac:dyDescent="0.3">
      <c r="A2" s="10"/>
      <c r="L2" s="11"/>
    </row>
    <row r="3" spans="1:12" ht="12.15" customHeight="1" thickBot="1" x14ac:dyDescent="0.3">
      <c r="A3" s="12" t="s">
        <v>453</v>
      </c>
      <c r="C3" t="s">
        <v>465</v>
      </c>
      <c r="J3" s="8">
        <f>'Maximum Rates'!D5</f>
        <v>122</v>
      </c>
      <c r="K3" s="595">
        <v>4</v>
      </c>
      <c r="L3" s="11">
        <f>(J3*K3)</f>
        <v>488</v>
      </c>
    </row>
    <row r="4" spans="1:12" ht="12.15" customHeight="1" x14ac:dyDescent="0.25">
      <c r="A4" s="10"/>
      <c r="C4" t="s">
        <v>463</v>
      </c>
      <c r="J4" s="8"/>
      <c r="L4" s="11"/>
    </row>
    <row r="5" spans="1:12" ht="12.15" customHeight="1" thickBot="1" x14ac:dyDescent="0.3">
      <c r="A5" s="10"/>
      <c r="C5" t="s">
        <v>22</v>
      </c>
      <c r="L5" s="11"/>
    </row>
    <row r="6" spans="1:12" ht="12.15" customHeight="1" thickBot="1" x14ac:dyDescent="0.3">
      <c r="A6" s="12" t="s">
        <v>454</v>
      </c>
      <c r="B6" s="2"/>
      <c r="C6" t="s">
        <v>512</v>
      </c>
      <c r="J6" s="8">
        <f>'Maximum Rates'!D6</f>
        <v>140</v>
      </c>
      <c r="K6" s="595">
        <v>1</v>
      </c>
      <c r="L6" s="11">
        <f>(J6*K6)</f>
        <v>140</v>
      </c>
    </row>
    <row r="7" spans="1:12" ht="12.15" customHeight="1" x14ac:dyDescent="0.25">
      <c r="A7" s="10"/>
      <c r="C7" t="s">
        <v>22</v>
      </c>
      <c r="L7" s="11"/>
    </row>
    <row r="8" spans="1:12" ht="12.15" customHeight="1" thickBot="1" x14ac:dyDescent="0.3">
      <c r="A8" s="10"/>
      <c r="L8" s="11"/>
    </row>
    <row r="9" spans="1:12" ht="12.15" customHeight="1" thickBot="1" x14ac:dyDescent="0.3">
      <c r="A9" s="12" t="s">
        <v>27</v>
      </c>
      <c r="B9" s="2"/>
      <c r="C9" t="s">
        <v>528</v>
      </c>
      <c r="J9" s="8">
        <f>'Maximum Rates'!D7</f>
        <v>102</v>
      </c>
      <c r="K9" s="595">
        <v>1</v>
      </c>
      <c r="L9" s="11">
        <f>(J9*K9)</f>
        <v>102</v>
      </c>
    </row>
    <row r="10" spans="1:12" ht="12.15" customHeight="1" x14ac:dyDescent="0.25">
      <c r="A10" s="12" t="s">
        <v>796</v>
      </c>
      <c r="C10" t="s">
        <v>22</v>
      </c>
      <c r="L10" s="11"/>
    </row>
    <row r="11" spans="1:12" ht="12.15" customHeight="1" thickBot="1" x14ac:dyDescent="0.3">
      <c r="A11" s="10"/>
      <c r="L11" s="11"/>
    </row>
    <row r="12" spans="1:12" ht="12.15" customHeight="1" thickBot="1" x14ac:dyDescent="0.3">
      <c r="A12" s="12" t="s">
        <v>456</v>
      </c>
      <c r="B12" s="2"/>
      <c r="C12" t="s">
        <v>529</v>
      </c>
      <c r="J12" s="8">
        <f>'Maximum Rates'!D10</f>
        <v>74</v>
      </c>
      <c r="K12" s="595">
        <v>1</v>
      </c>
      <c r="L12" s="11">
        <f>(J12*K12)</f>
        <v>74</v>
      </c>
    </row>
    <row r="13" spans="1:12" ht="12.15" customHeight="1" x14ac:dyDescent="0.25">
      <c r="A13" s="10"/>
      <c r="C13" t="s">
        <v>22</v>
      </c>
      <c r="L13" s="11"/>
    </row>
    <row r="14" spans="1:12" ht="12.15" customHeight="1" thickBot="1" x14ac:dyDescent="0.3">
      <c r="A14" s="10"/>
      <c r="L14" s="11"/>
    </row>
    <row r="15" spans="1:12" ht="12.15" customHeight="1" thickBot="1" x14ac:dyDescent="0.3">
      <c r="A15" s="12" t="s">
        <v>457</v>
      </c>
      <c r="B15" s="2"/>
      <c r="C15" s="44" t="s">
        <v>125</v>
      </c>
      <c r="J15" s="8">
        <f>'Maximum Rates'!D11</f>
        <v>60</v>
      </c>
      <c r="K15" s="595">
        <v>2</v>
      </c>
      <c r="L15" s="11">
        <f>(J15*K15)</f>
        <v>120</v>
      </c>
    </row>
    <row r="16" spans="1:12" ht="12.15" customHeight="1" thickBot="1" x14ac:dyDescent="0.3">
      <c r="A16" s="10"/>
      <c r="C16" t="s">
        <v>22</v>
      </c>
      <c r="L16" s="11"/>
    </row>
    <row r="17" spans="1:12" ht="12.15" customHeight="1" thickBot="1" x14ac:dyDescent="0.3">
      <c r="A17" s="13"/>
      <c r="B17" s="14"/>
      <c r="C17" s="14"/>
      <c r="D17" s="14"/>
      <c r="E17" s="14"/>
      <c r="F17" s="14"/>
      <c r="G17" s="563" t="s">
        <v>223</v>
      </c>
      <c r="H17" s="564"/>
      <c r="I17" s="564"/>
      <c r="J17" s="564"/>
      <c r="K17" s="596"/>
      <c r="L17" s="6">
        <f>SUM(L3:L15)</f>
        <v>924</v>
      </c>
    </row>
    <row r="18" spans="1:12" ht="12.15" customHeight="1" thickBot="1" x14ac:dyDescent="0.3">
      <c r="A18" s="29"/>
      <c r="I18" s="7"/>
      <c r="J18" s="7"/>
      <c r="K18" s="597"/>
      <c r="L18" s="36"/>
    </row>
    <row r="19" spans="1:12" ht="18" customHeight="1" x14ac:dyDescent="0.25">
      <c r="A19" s="875" t="s">
        <v>1162</v>
      </c>
      <c r="B19" s="876"/>
      <c r="C19" s="876"/>
      <c r="D19" s="876"/>
      <c r="E19" s="876"/>
      <c r="F19" s="876"/>
      <c r="G19" s="876"/>
      <c r="H19" s="876"/>
      <c r="I19" s="876"/>
      <c r="J19" s="876"/>
      <c r="K19" s="876"/>
      <c r="L19" s="877"/>
    </row>
    <row r="20" spans="1:12" ht="12.15" customHeight="1" thickBot="1" x14ac:dyDescent="0.3">
      <c r="A20" s="10"/>
      <c r="L20" s="11"/>
    </row>
    <row r="21" spans="1:12" ht="12.15" customHeight="1" thickBot="1" x14ac:dyDescent="0.3">
      <c r="A21" s="12" t="s">
        <v>453</v>
      </c>
      <c r="C21" t="s">
        <v>465</v>
      </c>
      <c r="J21" s="8">
        <f>'Maximum Rates'!D5</f>
        <v>122</v>
      </c>
      <c r="K21" s="598">
        <v>1</v>
      </c>
      <c r="L21" s="11">
        <f>(J21*K21)</f>
        <v>122</v>
      </c>
    </row>
    <row r="22" spans="1:12" ht="12.15" customHeight="1" x14ac:dyDescent="0.25">
      <c r="A22" s="10"/>
      <c r="C22" t="s">
        <v>463</v>
      </c>
      <c r="J22" s="8"/>
      <c r="L22" s="11"/>
    </row>
    <row r="23" spans="1:12" ht="12.15" customHeight="1" thickBot="1" x14ac:dyDescent="0.3">
      <c r="A23" s="10"/>
      <c r="C23" s="31"/>
      <c r="D23" s="31"/>
      <c r="E23" s="31"/>
      <c r="F23" s="31"/>
      <c r="G23" s="31"/>
      <c r="H23" s="31"/>
      <c r="I23" s="31"/>
      <c r="J23" s="8"/>
      <c r="L23" s="11"/>
    </row>
    <row r="24" spans="1:12" ht="12.15" customHeight="1" thickBot="1" x14ac:dyDescent="0.3">
      <c r="A24" s="12" t="s">
        <v>454</v>
      </c>
      <c r="C24" t="s">
        <v>513</v>
      </c>
      <c r="J24" s="8">
        <f>'Maximum Rates'!D6</f>
        <v>140</v>
      </c>
      <c r="K24" s="598">
        <v>1</v>
      </c>
      <c r="L24" s="11">
        <f>(J24*K24)</f>
        <v>140</v>
      </c>
    </row>
    <row r="25" spans="1:12" ht="12.15" customHeight="1" x14ac:dyDescent="0.25">
      <c r="A25" s="10"/>
      <c r="J25" s="8"/>
      <c r="L25" s="11"/>
    </row>
    <row r="26" spans="1:12" ht="12.15" customHeight="1" thickBot="1" x14ac:dyDescent="0.3">
      <c r="A26" s="10"/>
      <c r="J26" s="8"/>
      <c r="L26" s="11"/>
    </row>
    <row r="27" spans="1:12" ht="12.15" customHeight="1" thickBot="1" x14ac:dyDescent="0.3">
      <c r="A27" s="12" t="s">
        <v>345</v>
      </c>
      <c r="C27" s="31" t="s">
        <v>324</v>
      </c>
      <c r="D27" s="31"/>
      <c r="E27" s="31"/>
      <c r="F27" s="31"/>
      <c r="G27" s="31"/>
      <c r="H27" s="31"/>
      <c r="I27" s="31"/>
      <c r="J27" s="8">
        <f>'Maximum Rates'!D7</f>
        <v>102</v>
      </c>
      <c r="K27" s="598">
        <v>1</v>
      </c>
      <c r="L27" s="11">
        <f>(J27*K27)</f>
        <v>102</v>
      </c>
    </row>
    <row r="28" spans="1:12" ht="12.15" customHeight="1" x14ac:dyDescent="0.25">
      <c r="A28" s="10"/>
      <c r="J28" s="8"/>
      <c r="L28" s="11"/>
    </row>
    <row r="29" spans="1:12" ht="12.15" customHeight="1" thickBot="1" x14ac:dyDescent="0.3">
      <c r="A29" s="10"/>
      <c r="J29" s="8"/>
      <c r="L29" s="11"/>
    </row>
    <row r="30" spans="1:12" ht="12.15" customHeight="1" thickBot="1" x14ac:dyDescent="0.3">
      <c r="A30" s="12" t="s">
        <v>456</v>
      </c>
      <c r="C30" t="s">
        <v>529</v>
      </c>
      <c r="J30" s="8">
        <f>'Maximum Rates'!D10</f>
        <v>74</v>
      </c>
      <c r="K30" s="598">
        <v>1</v>
      </c>
      <c r="L30" s="11">
        <f>(J30*K30)</f>
        <v>74</v>
      </c>
    </row>
    <row r="31" spans="1:12" ht="12.15" customHeight="1" x14ac:dyDescent="0.25">
      <c r="A31" s="10"/>
      <c r="J31" s="8"/>
      <c r="L31" s="11"/>
    </row>
    <row r="32" spans="1:12" ht="12.15" customHeight="1" thickBot="1" x14ac:dyDescent="0.3">
      <c r="A32" s="10"/>
      <c r="J32" s="8"/>
      <c r="L32" s="11"/>
    </row>
    <row r="33" spans="1:12" ht="12.15" customHeight="1" thickBot="1" x14ac:dyDescent="0.3">
      <c r="A33" s="12" t="s">
        <v>457</v>
      </c>
      <c r="C33" s="44" t="s">
        <v>149</v>
      </c>
      <c r="J33" s="8">
        <f>'Maximum Rates'!D11</f>
        <v>60</v>
      </c>
      <c r="K33" s="598">
        <v>2</v>
      </c>
      <c r="L33" s="11">
        <f>(J33*K33)</f>
        <v>120</v>
      </c>
    </row>
    <row r="34" spans="1:12" ht="12.15" customHeight="1" thickBot="1" x14ac:dyDescent="0.3">
      <c r="A34" s="10"/>
      <c r="L34" s="11"/>
    </row>
    <row r="35" spans="1:12" ht="12.15" customHeight="1" thickBot="1" x14ac:dyDescent="0.3">
      <c r="A35" s="13"/>
      <c r="B35" s="14"/>
      <c r="C35" s="14"/>
      <c r="D35" s="14"/>
      <c r="E35" s="14"/>
      <c r="F35" s="14"/>
      <c r="G35" s="565" t="s">
        <v>1160</v>
      </c>
      <c r="H35" s="564"/>
      <c r="I35" s="564"/>
      <c r="J35" s="564"/>
      <c r="K35" s="596"/>
      <c r="L35" s="6">
        <f>SUM(L21:L33)</f>
        <v>558</v>
      </c>
    </row>
    <row r="36" spans="1:12" ht="12.15" customHeight="1" x14ac:dyDescent="0.25">
      <c r="K36"/>
    </row>
    <row r="37" spans="1:12" ht="12.15" customHeight="1" x14ac:dyDescent="0.25">
      <c r="K37"/>
    </row>
    <row r="38" spans="1:12" ht="12" customHeight="1" x14ac:dyDescent="0.25">
      <c r="K38"/>
    </row>
    <row r="39" spans="1:12" ht="11.4" customHeight="1" x14ac:dyDescent="0.25">
      <c r="K39"/>
    </row>
    <row r="40" spans="1:12" ht="11.4" customHeight="1" x14ac:dyDescent="0.25">
      <c r="K40"/>
    </row>
    <row r="41" spans="1:12" ht="11.4" customHeight="1" x14ac:dyDescent="0.25">
      <c r="K41"/>
    </row>
    <row r="42" spans="1:12" ht="11.4" customHeight="1" x14ac:dyDescent="0.25">
      <c r="K42"/>
    </row>
    <row r="43" spans="1:12" ht="11.4" customHeight="1" x14ac:dyDescent="0.25">
      <c r="K43"/>
    </row>
    <row r="44" spans="1:12" ht="11.4" customHeight="1" x14ac:dyDescent="0.25">
      <c r="K44"/>
    </row>
    <row r="45" spans="1:12" ht="11.4" customHeight="1" x14ac:dyDescent="0.25">
      <c r="K45"/>
    </row>
    <row r="46" spans="1:12" ht="11.4" customHeight="1" x14ac:dyDescent="0.25">
      <c r="K46"/>
    </row>
    <row r="47" spans="1:12" ht="11.4" customHeight="1" x14ac:dyDescent="0.25">
      <c r="K47"/>
    </row>
    <row r="48" spans="1:12" ht="12.15" customHeight="1" x14ac:dyDescent="0.25">
      <c r="K48"/>
    </row>
    <row r="49" spans="1:12" ht="12.15" customHeight="1" x14ac:dyDescent="0.25">
      <c r="K49"/>
    </row>
    <row r="50" spans="1:12" ht="12.15" customHeight="1" x14ac:dyDescent="0.25">
      <c r="K50"/>
    </row>
    <row r="51" spans="1:12" ht="12.15" customHeight="1" x14ac:dyDescent="0.25">
      <c r="K51"/>
    </row>
    <row r="52" spans="1:12" ht="12.15" customHeight="1" x14ac:dyDescent="0.25">
      <c r="K52"/>
    </row>
    <row r="53" spans="1:12" ht="12.15" customHeight="1" x14ac:dyDescent="0.25">
      <c r="K53"/>
    </row>
    <row r="54" spans="1:12" ht="12.15" customHeight="1" x14ac:dyDescent="0.25">
      <c r="K54"/>
    </row>
    <row r="55" spans="1:12" ht="12.15" customHeight="1" x14ac:dyDescent="0.25">
      <c r="K55"/>
    </row>
    <row r="56" spans="1:12" ht="12.15" customHeight="1" x14ac:dyDescent="0.25">
      <c r="K56"/>
    </row>
    <row r="57" spans="1:12" ht="12.15" customHeight="1" x14ac:dyDescent="0.25">
      <c r="K57"/>
    </row>
    <row r="58" spans="1:12" ht="12.15" customHeight="1" x14ac:dyDescent="0.25">
      <c r="K58"/>
    </row>
    <row r="59" spans="1:12" ht="12.15" customHeight="1" x14ac:dyDescent="0.25">
      <c r="K59"/>
    </row>
    <row r="60" spans="1:12" ht="12.15" customHeight="1" x14ac:dyDescent="0.25">
      <c r="K60"/>
    </row>
    <row r="61" spans="1:12" ht="12.15" customHeight="1" x14ac:dyDescent="0.25">
      <c r="K61"/>
    </row>
    <row r="62" spans="1:12" ht="12.15" customHeight="1" thickBot="1" x14ac:dyDescent="0.3">
      <c r="K62"/>
    </row>
    <row r="63" spans="1:12" ht="18" customHeight="1" x14ac:dyDescent="0.25">
      <c r="A63" s="875" t="s">
        <v>38</v>
      </c>
      <c r="B63" s="876"/>
      <c r="C63" s="876"/>
      <c r="D63" s="876"/>
      <c r="E63" s="876"/>
      <c r="F63" s="876"/>
      <c r="G63" s="876"/>
      <c r="H63" s="876"/>
      <c r="I63" s="876"/>
      <c r="J63" s="876"/>
      <c r="K63" s="876"/>
      <c r="L63" s="877"/>
    </row>
    <row r="64" spans="1:12" ht="12.15" customHeight="1" thickBot="1" x14ac:dyDescent="0.3">
      <c r="A64" s="10"/>
      <c r="L64" s="11"/>
    </row>
    <row r="65" spans="1:12" ht="12.15" customHeight="1" thickBot="1" x14ac:dyDescent="0.3">
      <c r="A65" s="12" t="s">
        <v>453</v>
      </c>
      <c r="C65" s="48" t="s">
        <v>40</v>
      </c>
      <c r="D65" s="48"/>
      <c r="E65" s="48"/>
      <c r="J65" s="8">
        <f>'Maximum Rates'!D5</f>
        <v>122</v>
      </c>
      <c r="K65" s="595">
        <v>4</v>
      </c>
      <c r="L65" s="11">
        <f>(J65*K65)</f>
        <v>488</v>
      </c>
    </row>
    <row r="66" spans="1:12" ht="12.15" customHeight="1" x14ac:dyDescent="0.25">
      <c r="A66" s="10"/>
      <c r="C66" t="s">
        <v>463</v>
      </c>
      <c r="J66" s="8"/>
      <c r="L66" s="11"/>
    </row>
    <row r="67" spans="1:12" ht="12.15" customHeight="1" x14ac:dyDescent="0.25">
      <c r="A67" s="10"/>
      <c r="C67" s="48" t="s">
        <v>323</v>
      </c>
      <c r="D67" s="48"/>
      <c r="E67" s="48"/>
      <c r="F67" s="31"/>
      <c r="G67" s="31"/>
      <c r="H67" s="31"/>
      <c r="I67" s="31"/>
      <c r="J67" s="8"/>
      <c r="L67" s="11"/>
    </row>
    <row r="68" spans="1:12" ht="12.15" customHeight="1" thickBot="1" x14ac:dyDescent="0.3">
      <c r="A68" s="10"/>
      <c r="C68" t="s">
        <v>22</v>
      </c>
      <c r="L68" s="11"/>
    </row>
    <row r="69" spans="1:12" ht="12.15" customHeight="1" thickBot="1" x14ac:dyDescent="0.3">
      <c r="A69" s="12" t="s">
        <v>454</v>
      </c>
      <c r="B69" s="2"/>
      <c r="C69" t="s">
        <v>375</v>
      </c>
      <c r="J69" s="8">
        <f>'Maximum Rates'!D6</f>
        <v>140</v>
      </c>
      <c r="K69" s="595">
        <v>1</v>
      </c>
      <c r="L69" s="11">
        <f>(J69*K69)</f>
        <v>140</v>
      </c>
    </row>
    <row r="70" spans="1:12" ht="12.15" customHeight="1" x14ac:dyDescent="0.25">
      <c r="A70" s="10"/>
      <c r="C70" t="s">
        <v>22</v>
      </c>
      <c r="L70" s="11"/>
    </row>
    <row r="71" spans="1:12" ht="12.15" customHeight="1" thickBot="1" x14ac:dyDescent="0.3">
      <c r="A71" s="10"/>
      <c r="L71" s="11"/>
    </row>
    <row r="72" spans="1:12" ht="12.15" customHeight="1" thickBot="1" x14ac:dyDescent="0.3">
      <c r="A72" s="12" t="s">
        <v>27</v>
      </c>
      <c r="B72" s="2"/>
      <c r="C72" t="s">
        <v>447</v>
      </c>
      <c r="J72" s="8">
        <f>'Maximum Rates'!D7</f>
        <v>102</v>
      </c>
      <c r="K72" s="595">
        <v>2</v>
      </c>
      <c r="L72" s="11">
        <f>(J72*K72)</f>
        <v>204</v>
      </c>
    </row>
    <row r="73" spans="1:12" ht="12.15" customHeight="1" x14ac:dyDescent="0.25">
      <c r="A73" s="12" t="s">
        <v>796</v>
      </c>
      <c r="C73" t="s">
        <v>22</v>
      </c>
      <c r="L73" s="11"/>
    </row>
    <row r="74" spans="1:12" ht="12.15" customHeight="1" thickBot="1" x14ac:dyDescent="0.3">
      <c r="A74" s="12"/>
      <c r="L74" s="11"/>
    </row>
    <row r="75" spans="1:12" ht="12.15" customHeight="1" thickBot="1" x14ac:dyDescent="0.3">
      <c r="A75" s="12" t="s">
        <v>456</v>
      </c>
      <c r="B75" s="2"/>
      <c r="C75" t="s">
        <v>466</v>
      </c>
      <c r="J75" s="8">
        <f>'Maximum Rates'!D10</f>
        <v>74</v>
      </c>
      <c r="K75" s="595">
        <v>1</v>
      </c>
      <c r="L75" s="11">
        <f>(J75*K75)</f>
        <v>74</v>
      </c>
    </row>
    <row r="76" spans="1:12" ht="12.15" customHeight="1" x14ac:dyDescent="0.25">
      <c r="A76" s="10"/>
      <c r="C76" t="s">
        <v>22</v>
      </c>
      <c r="L76" s="11"/>
    </row>
    <row r="77" spans="1:12" ht="12.15" customHeight="1" thickBot="1" x14ac:dyDescent="0.3">
      <c r="A77" s="10"/>
      <c r="L77" s="11"/>
    </row>
    <row r="78" spans="1:12" ht="12.15" customHeight="1" thickBot="1" x14ac:dyDescent="0.3">
      <c r="A78" s="12" t="s">
        <v>457</v>
      </c>
      <c r="B78" s="2"/>
      <c r="C78" t="s">
        <v>448</v>
      </c>
      <c r="J78" s="8">
        <f>'Maximum Rates'!D11</f>
        <v>60</v>
      </c>
      <c r="K78" s="595">
        <v>4</v>
      </c>
      <c r="L78" s="11">
        <f>(J78*K78)</f>
        <v>240</v>
      </c>
    </row>
    <row r="79" spans="1:12" ht="12.15" customHeight="1" thickBot="1" x14ac:dyDescent="0.3">
      <c r="A79" s="10"/>
      <c r="C79" t="s">
        <v>22</v>
      </c>
      <c r="L79" s="11"/>
    </row>
    <row r="80" spans="1:12" ht="12.15" customHeight="1" thickBot="1" x14ac:dyDescent="0.3">
      <c r="A80" s="13"/>
      <c r="B80" s="14"/>
      <c r="C80" s="14"/>
      <c r="D80" s="14"/>
      <c r="E80" s="14"/>
      <c r="F80" s="14"/>
      <c r="G80" s="563" t="s">
        <v>514</v>
      </c>
      <c r="H80" s="564"/>
      <c r="I80" s="564"/>
      <c r="J80" s="564"/>
      <c r="K80" s="596"/>
      <c r="L80" s="6">
        <f>SUM(L65:L78)</f>
        <v>1146</v>
      </c>
    </row>
    <row r="81" spans="1:12" ht="12.15" customHeight="1" thickBot="1" x14ac:dyDescent="0.3"/>
    <row r="82" spans="1:12" ht="18" customHeight="1" x14ac:dyDescent="0.25">
      <c r="A82" s="875" t="s">
        <v>308</v>
      </c>
      <c r="B82" s="876"/>
      <c r="C82" s="876"/>
      <c r="D82" s="876"/>
      <c r="E82" s="876"/>
      <c r="F82" s="876"/>
      <c r="G82" s="876"/>
      <c r="H82" s="876"/>
      <c r="I82" s="876"/>
      <c r="J82" s="876"/>
      <c r="K82" s="876"/>
      <c r="L82" s="877"/>
    </row>
    <row r="83" spans="1:12" ht="12.15" customHeight="1" thickBot="1" x14ac:dyDescent="0.3">
      <c r="A83" s="10"/>
      <c r="L83" s="11"/>
    </row>
    <row r="84" spans="1:12" ht="12.15" customHeight="1" thickBot="1" x14ac:dyDescent="0.3">
      <c r="A84" s="12" t="s">
        <v>453</v>
      </c>
      <c r="C84" t="s">
        <v>465</v>
      </c>
      <c r="J84" s="8">
        <f>'Maximum Rates'!D5</f>
        <v>122</v>
      </c>
      <c r="K84" s="595">
        <v>4</v>
      </c>
      <c r="L84" s="11">
        <f>(J84*K84)</f>
        <v>488</v>
      </c>
    </row>
    <row r="85" spans="1:12" ht="12.15" customHeight="1" x14ac:dyDescent="0.25">
      <c r="A85" s="10"/>
      <c r="C85" t="s">
        <v>463</v>
      </c>
      <c r="J85" s="8"/>
      <c r="L85" s="11"/>
    </row>
    <row r="86" spans="1:12" ht="12.15" customHeight="1" x14ac:dyDescent="0.25">
      <c r="A86" s="10"/>
      <c r="C86" s="48" t="s">
        <v>323</v>
      </c>
      <c r="D86" s="48"/>
      <c r="E86" s="48"/>
      <c r="F86" s="31"/>
      <c r="G86" s="31"/>
      <c r="H86" s="31"/>
      <c r="I86" s="31"/>
      <c r="J86" s="8"/>
      <c r="L86" s="11"/>
    </row>
    <row r="87" spans="1:12" ht="12.15" customHeight="1" thickBot="1" x14ac:dyDescent="0.3">
      <c r="A87" s="10"/>
      <c r="C87" t="s">
        <v>22</v>
      </c>
      <c r="L87" s="11"/>
    </row>
    <row r="88" spans="1:12" ht="12.15" customHeight="1" thickBot="1" x14ac:dyDescent="0.3">
      <c r="A88" s="12" t="s">
        <v>454</v>
      </c>
      <c r="B88" s="2"/>
      <c r="C88" t="s">
        <v>375</v>
      </c>
      <c r="J88" s="8">
        <f>'Maximum Rates'!D6</f>
        <v>140</v>
      </c>
      <c r="K88" s="595">
        <v>1</v>
      </c>
      <c r="L88" s="11">
        <f>(J88*K88)</f>
        <v>140</v>
      </c>
    </row>
    <row r="89" spans="1:12" ht="12.15" customHeight="1" x14ac:dyDescent="0.25">
      <c r="A89" s="10"/>
      <c r="C89" t="s">
        <v>22</v>
      </c>
      <c r="L89" s="11"/>
    </row>
    <row r="90" spans="1:12" ht="12.15" customHeight="1" thickBot="1" x14ac:dyDescent="0.3">
      <c r="A90" s="10"/>
      <c r="L90" s="11"/>
    </row>
    <row r="91" spans="1:12" ht="12.15" customHeight="1" thickBot="1" x14ac:dyDescent="0.3">
      <c r="A91" s="12" t="s">
        <v>27</v>
      </c>
      <c r="B91" s="2"/>
      <c r="C91" t="s">
        <v>447</v>
      </c>
      <c r="J91" s="8">
        <f>'Maximum Rates'!D7</f>
        <v>102</v>
      </c>
      <c r="K91" s="595">
        <v>3</v>
      </c>
      <c r="L91" s="11">
        <f>(J91*K91)</f>
        <v>306</v>
      </c>
    </row>
    <row r="92" spans="1:12" ht="12.15" customHeight="1" x14ac:dyDescent="0.25">
      <c r="A92" s="12" t="s">
        <v>796</v>
      </c>
      <c r="C92" t="s">
        <v>22</v>
      </c>
      <c r="L92" s="11"/>
    </row>
    <row r="93" spans="1:12" ht="12.15" customHeight="1" thickBot="1" x14ac:dyDescent="0.3">
      <c r="A93" s="12"/>
      <c r="L93" s="11"/>
    </row>
    <row r="94" spans="1:12" ht="12.15" customHeight="1" thickBot="1" x14ac:dyDescent="0.3">
      <c r="A94" s="12" t="s">
        <v>456</v>
      </c>
      <c r="B94" s="2"/>
      <c r="C94" t="s">
        <v>466</v>
      </c>
      <c r="J94" s="8">
        <f>'Maximum Rates'!D10</f>
        <v>74</v>
      </c>
      <c r="K94" s="595">
        <v>1</v>
      </c>
      <c r="L94" s="11">
        <f>(J94*K94)</f>
        <v>74</v>
      </c>
    </row>
    <row r="95" spans="1:12" ht="12.15" customHeight="1" x14ac:dyDescent="0.25">
      <c r="A95" s="10"/>
      <c r="C95" t="s">
        <v>22</v>
      </c>
      <c r="L95" s="11"/>
    </row>
    <row r="96" spans="1:12" ht="12.15" customHeight="1" thickBot="1" x14ac:dyDescent="0.3">
      <c r="A96" s="10"/>
      <c r="L96" s="11"/>
    </row>
    <row r="97" spans="1:12" ht="12.15" customHeight="1" thickBot="1" x14ac:dyDescent="0.3">
      <c r="A97" s="12" t="s">
        <v>457</v>
      </c>
      <c r="B97" s="2"/>
      <c r="C97" t="s">
        <v>381</v>
      </c>
      <c r="J97" s="8">
        <f>'Maximum Rates'!D11</f>
        <v>60</v>
      </c>
      <c r="K97" s="595">
        <v>4</v>
      </c>
      <c r="L97" s="11">
        <f>(J97*K97)</f>
        <v>240</v>
      </c>
    </row>
    <row r="98" spans="1:12" ht="12.15" customHeight="1" thickBot="1" x14ac:dyDescent="0.3">
      <c r="A98" s="10"/>
      <c r="C98" t="s">
        <v>22</v>
      </c>
      <c r="L98" s="11"/>
    </row>
    <row r="99" spans="1:12" ht="12.15" customHeight="1" thickBot="1" x14ac:dyDescent="0.3">
      <c r="A99" s="13"/>
      <c r="B99" s="14"/>
      <c r="C99" s="14"/>
      <c r="D99" s="14"/>
      <c r="E99" s="14"/>
      <c r="F99" s="14"/>
      <c r="G99" s="563" t="s">
        <v>515</v>
      </c>
      <c r="H99" s="564"/>
      <c r="I99" s="564"/>
      <c r="J99" s="564"/>
      <c r="K99" s="596"/>
      <c r="L99" s="6">
        <f>SUM(L84:L97)</f>
        <v>1248</v>
      </c>
    </row>
    <row r="100" spans="1:12" ht="12.15" customHeight="1" x14ac:dyDescent="0.25">
      <c r="K100"/>
    </row>
    <row r="101" spans="1:12" ht="12.15" customHeight="1" x14ac:dyDescent="0.25">
      <c r="K101"/>
    </row>
    <row r="102" spans="1:12" ht="12.15" customHeight="1" x14ac:dyDescent="0.25">
      <c r="K102"/>
    </row>
    <row r="103" spans="1:12" ht="12.15" customHeight="1" x14ac:dyDescent="0.25">
      <c r="K103"/>
    </row>
    <row r="104" spans="1:12" ht="12.15" customHeight="1" x14ac:dyDescent="0.25">
      <c r="K104"/>
    </row>
    <row r="105" spans="1:12" ht="12.15" customHeight="1" x14ac:dyDescent="0.25">
      <c r="K105"/>
    </row>
    <row r="106" spans="1:12" ht="12.15" customHeight="1" x14ac:dyDescent="0.25">
      <c r="K106"/>
    </row>
    <row r="107" spans="1:12" ht="12.15" customHeight="1" x14ac:dyDescent="0.25">
      <c r="K107"/>
    </row>
    <row r="108" spans="1:12" ht="12.15" customHeight="1" x14ac:dyDescent="0.25">
      <c r="K108"/>
    </row>
    <row r="109" spans="1:12" ht="12.15" customHeight="1" x14ac:dyDescent="0.25">
      <c r="K109"/>
    </row>
    <row r="110" spans="1:12" ht="12.15" customHeight="1" x14ac:dyDescent="0.25">
      <c r="K110"/>
    </row>
    <row r="111" spans="1:12" ht="12.15" customHeight="1" x14ac:dyDescent="0.25">
      <c r="K111"/>
    </row>
    <row r="112" spans="1:12" ht="12.15" customHeight="1" x14ac:dyDescent="0.25">
      <c r="K112"/>
    </row>
    <row r="113" spans="1:12" ht="12.15" customHeight="1" x14ac:dyDescent="0.25">
      <c r="K113"/>
    </row>
    <row r="114" spans="1:12" ht="12.15" customHeight="1" x14ac:dyDescent="0.25">
      <c r="K114"/>
    </row>
    <row r="115" spans="1:12" ht="12.15" customHeight="1" x14ac:dyDescent="0.25">
      <c r="K115"/>
    </row>
    <row r="116" spans="1:12" ht="12.15" customHeight="1" x14ac:dyDescent="0.25">
      <c r="K116"/>
    </row>
    <row r="117" spans="1:12" ht="12.15" customHeight="1" x14ac:dyDescent="0.25">
      <c r="K117"/>
    </row>
    <row r="118" spans="1:12" ht="12.15" customHeight="1" x14ac:dyDescent="0.25">
      <c r="K118"/>
    </row>
    <row r="119" spans="1:12" ht="12.15" customHeight="1" x14ac:dyDescent="0.25">
      <c r="K119"/>
    </row>
    <row r="120" spans="1:12" ht="12.15" customHeight="1" x14ac:dyDescent="0.25">
      <c r="K120"/>
    </row>
    <row r="121" spans="1:12" ht="12.15" customHeight="1" x14ac:dyDescent="0.25">
      <c r="K121"/>
    </row>
    <row r="122" spans="1:12" ht="12.15" customHeight="1" x14ac:dyDescent="0.25">
      <c r="K122"/>
    </row>
    <row r="123" spans="1:12" ht="12.15" customHeight="1" x14ac:dyDescent="0.25">
      <c r="K123"/>
    </row>
    <row r="124" spans="1:12" ht="12.15" customHeight="1" thickBot="1" x14ac:dyDescent="0.3"/>
    <row r="125" spans="1:12" ht="18" customHeight="1" x14ac:dyDescent="0.25">
      <c r="A125" s="931" t="s">
        <v>1080</v>
      </c>
      <c r="B125" s="1149"/>
      <c r="C125" s="1149"/>
      <c r="D125" s="1149"/>
      <c r="E125" s="1149"/>
      <c r="F125" s="1149"/>
      <c r="G125" s="1149"/>
      <c r="H125" s="1149"/>
      <c r="I125" s="1149"/>
      <c r="J125" s="1149"/>
      <c r="K125" s="1149"/>
      <c r="L125" s="1150"/>
    </row>
    <row r="126" spans="1:12" ht="12.15" customHeight="1" thickBot="1" x14ac:dyDescent="0.3">
      <c r="A126" s="10"/>
      <c r="L126" s="11"/>
    </row>
    <row r="127" spans="1:12" ht="12.15" customHeight="1" thickBot="1" x14ac:dyDescent="0.3">
      <c r="A127" s="12" t="s">
        <v>453</v>
      </c>
      <c r="C127" t="s">
        <v>465</v>
      </c>
      <c r="J127" s="8">
        <f>'Maximum Rates'!D5</f>
        <v>122</v>
      </c>
      <c r="K127" s="595">
        <v>2</v>
      </c>
      <c r="L127" s="11">
        <f>(J127*K127)</f>
        <v>244</v>
      </c>
    </row>
    <row r="128" spans="1:12" ht="12.15" customHeight="1" x14ac:dyDescent="0.25">
      <c r="A128" s="10"/>
      <c r="C128" t="s">
        <v>463</v>
      </c>
      <c r="J128" s="8"/>
      <c r="L128" s="11"/>
    </row>
    <row r="129" spans="1:12" ht="12.15" customHeight="1" x14ac:dyDescent="0.25">
      <c r="A129" s="10"/>
      <c r="C129" s="48" t="s">
        <v>323</v>
      </c>
      <c r="D129" s="48"/>
      <c r="E129" s="48"/>
      <c r="F129" s="31"/>
      <c r="G129" s="31"/>
      <c r="H129" s="31"/>
      <c r="I129" s="31"/>
      <c r="J129" s="8"/>
      <c r="L129" s="11"/>
    </row>
    <row r="130" spans="1:12" ht="12.15" customHeight="1" thickBot="1" x14ac:dyDescent="0.3">
      <c r="A130" s="10"/>
      <c r="C130" t="s">
        <v>22</v>
      </c>
      <c r="L130" s="11"/>
    </row>
    <row r="131" spans="1:12" ht="12.15" customHeight="1" thickBot="1" x14ac:dyDescent="0.3">
      <c r="A131" s="12" t="s">
        <v>454</v>
      </c>
      <c r="B131" s="2"/>
      <c r="C131" t="s">
        <v>375</v>
      </c>
      <c r="J131" s="8">
        <f>'Maximum Rates'!D6</f>
        <v>140</v>
      </c>
      <c r="K131" s="595">
        <v>1</v>
      </c>
      <c r="L131" s="11">
        <f>(J131*K131)</f>
        <v>140</v>
      </c>
    </row>
    <row r="132" spans="1:12" ht="12.15" customHeight="1" x14ac:dyDescent="0.25">
      <c r="A132" s="10"/>
      <c r="C132" t="s">
        <v>22</v>
      </c>
      <c r="L132" s="11"/>
    </row>
    <row r="133" spans="1:12" ht="12.15" customHeight="1" thickBot="1" x14ac:dyDescent="0.3">
      <c r="A133" s="10"/>
      <c r="L133" s="11"/>
    </row>
    <row r="134" spans="1:12" ht="12.15" customHeight="1" thickBot="1" x14ac:dyDescent="0.3">
      <c r="A134" s="12" t="s">
        <v>27</v>
      </c>
      <c r="B134" s="2"/>
      <c r="C134" t="s">
        <v>447</v>
      </c>
      <c r="J134" s="8">
        <f>'Maximum Rates'!D7</f>
        <v>102</v>
      </c>
      <c r="K134" s="595">
        <v>3</v>
      </c>
      <c r="L134" s="11">
        <f>(J134*K134)</f>
        <v>306</v>
      </c>
    </row>
    <row r="135" spans="1:12" ht="12.15" customHeight="1" x14ac:dyDescent="0.25">
      <c r="A135" s="12" t="s">
        <v>796</v>
      </c>
      <c r="C135" t="s">
        <v>22</v>
      </c>
      <c r="L135" s="11"/>
    </row>
    <row r="136" spans="1:12" ht="12.15" customHeight="1" thickBot="1" x14ac:dyDescent="0.3">
      <c r="A136" s="12"/>
      <c r="L136" s="11"/>
    </row>
    <row r="137" spans="1:12" ht="12.15" customHeight="1" thickBot="1" x14ac:dyDescent="0.3">
      <c r="A137" s="12" t="s">
        <v>456</v>
      </c>
      <c r="B137" s="2"/>
      <c r="C137" t="s">
        <v>466</v>
      </c>
      <c r="J137" s="8">
        <f>'Maximum Rates'!D10</f>
        <v>74</v>
      </c>
      <c r="K137" s="595">
        <v>1</v>
      </c>
      <c r="L137" s="11">
        <f>(J137*K137)</f>
        <v>74</v>
      </c>
    </row>
    <row r="138" spans="1:12" ht="12.15" customHeight="1" x14ac:dyDescent="0.25">
      <c r="A138" s="10"/>
      <c r="C138" t="s">
        <v>22</v>
      </c>
      <c r="L138" s="11"/>
    </row>
    <row r="139" spans="1:12" ht="12.15" customHeight="1" thickBot="1" x14ac:dyDescent="0.3">
      <c r="A139" s="10"/>
      <c r="L139" s="11"/>
    </row>
    <row r="140" spans="1:12" ht="12.15" customHeight="1" thickBot="1" x14ac:dyDescent="0.3">
      <c r="A140" s="12" t="s">
        <v>457</v>
      </c>
      <c r="B140" s="2"/>
      <c r="C140" t="s">
        <v>381</v>
      </c>
      <c r="J140" s="8">
        <f>'Maximum Rates'!D11</f>
        <v>60</v>
      </c>
      <c r="K140" s="595">
        <v>2</v>
      </c>
      <c r="L140" s="11">
        <f>(J140*K140)</f>
        <v>120</v>
      </c>
    </row>
    <row r="141" spans="1:12" ht="12.15" customHeight="1" thickBot="1" x14ac:dyDescent="0.3">
      <c r="A141" s="10"/>
      <c r="C141" t="s">
        <v>22</v>
      </c>
      <c r="L141" s="11"/>
    </row>
    <row r="142" spans="1:12" ht="12.15" customHeight="1" thickBot="1" x14ac:dyDescent="0.3">
      <c r="A142" s="13"/>
      <c r="B142" s="14"/>
      <c r="C142" s="14"/>
      <c r="D142" s="14"/>
      <c r="E142" s="14"/>
      <c r="F142" s="14"/>
      <c r="G142" s="563" t="s">
        <v>515</v>
      </c>
      <c r="H142" s="564"/>
      <c r="I142" s="564"/>
      <c r="J142" s="564"/>
      <c r="K142" s="596"/>
      <c r="L142" s="6">
        <f>SUM(L127:L140)</f>
        <v>884</v>
      </c>
    </row>
    <row r="143" spans="1:12" ht="12.15" customHeight="1" thickBot="1" x14ac:dyDescent="0.3"/>
    <row r="144" spans="1:12" ht="18" customHeight="1" x14ac:dyDescent="0.3">
      <c r="A144" s="926" t="s">
        <v>1150</v>
      </c>
      <c r="B144" s="939"/>
      <c r="C144" s="939"/>
      <c r="D144" s="939"/>
      <c r="E144" s="939"/>
      <c r="F144" s="939"/>
      <c r="G144" s="939"/>
      <c r="H144" s="939"/>
      <c r="I144" s="939"/>
      <c r="J144" s="939"/>
      <c r="K144" s="939"/>
      <c r="L144" s="940"/>
    </row>
    <row r="145" spans="1:12" ht="12.15" customHeight="1" thickBot="1" x14ac:dyDescent="0.3">
      <c r="A145" s="10"/>
      <c r="L145" s="11"/>
    </row>
    <row r="146" spans="1:12" ht="12.15" customHeight="1" thickBot="1" x14ac:dyDescent="0.3">
      <c r="A146" s="12" t="s">
        <v>453</v>
      </c>
      <c r="C146" s="44" t="s">
        <v>1081</v>
      </c>
      <c r="D146" s="44"/>
      <c r="E146" s="44"/>
      <c r="J146" s="8">
        <f>'Maximum Rates'!D5</f>
        <v>122</v>
      </c>
      <c r="K146" s="595">
        <v>2</v>
      </c>
      <c r="L146" s="11">
        <f>(J146*K146)</f>
        <v>244</v>
      </c>
    </row>
    <row r="147" spans="1:12" ht="12.15" customHeight="1" x14ac:dyDescent="0.25">
      <c r="A147" s="10"/>
      <c r="C147" s="44" t="s">
        <v>1082</v>
      </c>
      <c r="D147" s="44"/>
      <c r="E147" s="44"/>
      <c r="J147" s="8"/>
      <c r="L147" s="11"/>
    </row>
    <row r="148" spans="1:12" x14ac:dyDescent="0.25">
      <c r="A148" s="10"/>
      <c r="C148" s="48"/>
      <c r="D148" s="48"/>
      <c r="E148" s="48"/>
      <c r="F148" s="31"/>
      <c r="G148" s="31"/>
      <c r="H148" s="31"/>
      <c r="I148" s="31"/>
      <c r="J148" s="8"/>
      <c r="L148" s="11"/>
    </row>
    <row r="149" spans="1:12" ht="13.8" thickBot="1" x14ac:dyDescent="0.3">
      <c r="A149" s="10"/>
      <c r="L149" s="11"/>
    </row>
    <row r="150" spans="1:12" ht="13.8" thickBot="1" x14ac:dyDescent="0.3">
      <c r="A150" s="12" t="s">
        <v>454</v>
      </c>
      <c r="B150" s="2"/>
      <c r="J150" s="8">
        <f>'Maximum Rates'!D6</f>
        <v>140</v>
      </c>
      <c r="K150" s="595"/>
      <c r="L150" s="11">
        <f>(J150*K150)</f>
        <v>0</v>
      </c>
    </row>
    <row r="151" spans="1:12" x14ac:dyDescent="0.25">
      <c r="A151" s="10"/>
      <c r="L151" s="11"/>
    </row>
    <row r="152" spans="1:12" ht="13.8" thickBot="1" x14ac:dyDescent="0.3">
      <c r="A152" s="10"/>
      <c r="L152" s="11"/>
    </row>
    <row r="153" spans="1:12" ht="13.8" thickBot="1" x14ac:dyDescent="0.3">
      <c r="A153" s="12" t="s">
        <v>27</v>
      </c>
      <c r="B153" s="2"/>
      <c r="C153" s="44" t="s">
        <v>1081</v>
      </c>
      <c r="D153" s="44"/>
      <c r="E153" s="44"/>
      <c r="J153" s="8">
        <f>'Maximum Rates'!D7</f>
        <v>102</v>
      </c>
      <c r="K153" s="595">
        <v>1</v>
      </c>
      <c r="L153" s="11">
        <f>(J153*K153)</f>
        <v>102</v>
      </c>
    </row>
    <row r="154" spans="1:12" x14ac:dyDescent="0.25">
      <c r="A154" s="12" t="s">
        <v>796</v>
      </c>
      <c r="C154" s="44" t="s">
        <v>1082</v>
      </c>
      <c r="D154" s="44"/>
      <c r="E154" s="44"/>
      <c r="L154" s="11"/>
    </row>
    <row r="155" spans="1:12" ht="13.8" thickBot="1" x14ac:dyDescent="0.3">
      <c r="A155" s="12"/>
      <c r="C155" s="44"/>
      <c r="D155" s="44"/>
      <c r="E155" s="44"/>
      <c r="L155" s="11"/>
    </row>
    <row r="156" spans="1:12" ht="13.8" thickBot="1" x14ac:dyDescent="0.3">
      <c r="A156" s="12" t="s">
        <v>456</v>
      </c>
      <c r="B156" s="2"/>
      <c r="J156" s="8">
        <f>'Maximum Rates'!D10</f>
        <v>74</v>
      </c>
      <c r="K156" s="595"/>
      <c r="L156" s="11">
        <f>(J156*K156)</f>
        <v>0</v>
      </c>
    </row>
    <row r="157" spans="1:12" x14ac:dyDescent="0.25">
      <c r="A157" s="10"/>
      <c r="L157" s="11"/>
    </row>
    <row r="158" spans="1:12" ht="13.8" thickBot="1" x14ac:dyDescent="0.3">
      <c r="A158" s="10"/>
      <c r="L158" s="11"/>
    </row>
    <row r="159" spans="1:12" ht="13.8" thickBot="1" x14ac:dyDescent="0.3">
      <c r="A159" s="12" t="s">
        <v>457</v>
      </c>
      <c r="B159" s="2"/>
      <c r="J159" s="8">
        <f>'Maximum Rates'!D11</f>
        <v>60</v>
      </c>
      <c r="K159" s="595"/>
      <c r="L159" s="11">
        <f>(J159*K159)</f>
        <v>0</v>
      </c>
    </row>
    <row r="160" spans="1:12" ht="13.8" thickBot="1" x14ac:dyDescent="0.3">
      <c r="A160" s="10"/>
      <c r="L160" s="11"/>
    </row>
    <row r="161" spans="1:12" ht="13.8" thickBot="1" x14ac:dyDescent="0.3">
      <c r="A161" s="13"/>
      <c r="B161" s="14"/>
      <c r="C161" s="14"/>
      <c r="D161" s="14"/>
      <c r="E161" s="14"/>
      <c r="F161" s="14"/>
      <c r="G161" s="563" t="s">
        <v>515</v>
      </c>
      <c r="H161" s="563"/>
      <c r="I161" s="563"/>
      <c r="J161" s="563"/>
      <c r="K161" s="563"/>
      <c r="L161" s="5">
        <f>SUM(L146:L159)</f>
        <v>346</v>
      </c>
    </row>
  </sheetData>
  <sheetProtection password="DC01" sheet="1" objects="1" scenarios="1" selectLockedCells="1"/>
  <customSheetViews>
    <customSheetView guid="{BC429C65-53B8-4F97-88D2-74ECCD734800}" scale="90" showGridLines="0" showRowCol="0" hiddenRows="1" state="hidden">
      <selection activeCell="B4" sqref="B4:L4"/>
      <pageMargins left="0.25" right="0.25" top="1" bottom="0.25" header="0.5" footer="0.5"/>
      <printOptions horizontalCentered="1"/>
      <pageSetup orientation="portrait" horizontalDpi="4294967292" verticalDpi="4294967292" r:id="rId1"/>
      <headerFooter alignWithMargins="0"/>
    </customSheetView>
  </customSheetViews>
  <phoneticPr fontId="4" type="noConversion"/>
  <printOptions horizontalCentered="1"/>
  <pageMargins left="0.25" right="0.25" top="0.75" bottom="0.25" header="0.17" footer="0.5"/>
  <pageSetup orientation="portrait" r:id="rId2"/>
  <headerFooter alignWithMargins="0">
    <oddHeader>&amp;C&amp;18Units for Free Product Recovery</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theme="3" tint="0.79998168889431442"/>
  </sheetPr>
  <dimension ref="A1:M243"/>
  <sheetViews>
    <sheetView showGridLines="0" showRowColHeaders="0" showRuler="0" view="pageLayout" zoomScaleNormal="90" workbookViewId="0">
      <selection activeCell="E8" sqref="E8:I10"/>
    </sheetView>
  </sheetViews>
  <sheetFormatPr defaultColWidth="7.33203125" defaultRowHeight="13.2" x14ac:dyDescent="0.25"/>
  <cols>
    <col min="1" max="8" width="8.5546875" customWidth="1"/>
    <col min="9" max="9" width="6.44140625" customWidth="1"/>
    <col min="10" max="11" width="8.5546875" customWidth="1"/>
    <col min="12" max="12" width="9.6640625" customWidth="1"/>
    <col min="13" max="13" width="8.5546875" customWidth="1"/>
  </cols>
  <sheetData>
    <row r="1" spans="1:13" ht="18" customHeight="1" x14ac:dyDescent="0.25">
      <c r="A1" s="875" t="s">
        <v>774</v>
      </c>
      <c r="B1" s="876"/>
      <c r="C1" s="876"/>
      <c r="D1" s="876"/>
      <c r="E1" s="876"/>
      <c r="F1" s="876"/>
      <c r="G1" s="876"/>
      <c r="H1" s="876"/>
      <c r="I1" s="876"/>
      <c r="J1" s="876"/>
      <c r="K1" s="876"/>
      <c r="L1" s="877"/>
    </row>
    <row r="2" spans="1:13" ht="12.15" customHeight="1" thickBot="1" x14ac:dyDescent="0.45">
      <c r="A2" s="10"/>
      <c r="L2" s="17"/>
      <c r="M2" s="592"/>
    </row>
    <row r="3" spans="1:13" ht="12.15" customHeight="1" thickBot="1" x14ac:dyDescent="0.3">
      <c r="A3" s="12" t="s">
        <v>453</v>
      </c>
      <c r="B3" s="2"/>
      <c r="C3" t="s">
        <v>1</v>
      </c>
      <c r="J3" s="8">
        <f>'Maximum Rates'!D5</f>
        <v>122</v>
      </c>
      <c r="K3" s="602">
        <v>5</v>
      </c>
      <c r="L3" s="11">
        <f>(J3*K3)</f>
        <v>610</v>
      </c>
    </row>
    <row r="4" spans="1:13" ht="12.15" customHeight="1" x14ac:dyDescent="0.25">
      <c r="A4" s="10"/>
      <c r="C4" s="48" t="s">
        <v>49</v>
      </c>
      <c r="J4" s="8"/>
      <c r="L4" s="11"/>
    </row>
    <row r="5" spans="1:13" ht="12.15" customHeight="1" thickBot="1" x14ac:dyDescent="0.3">
      <c r="A5" s="10"/>
      <c r="C5" t="s">
        <v>22</v>
      </c>
      <c r="J5" s="8"/>
      <c r="L5" s="11"/>
    </row>
    <row r="6" spans="1:13" ht="12.15" customHeight="1" thickBot="1" x14ac:dyDescent="0.3">
      <c r="A6" s="12" t="s">
        <v>454</v>
      </c>
      <c r="B6" s="2"/>
      <c r="C6" t="s">
        <v>535</v>
      </c>
      <c r="J6" s="8">
        <f>'Maximum Rates'!D6</f>
        <v>140</v>
      </c>
      <c r="K6" s="551">
        <v>6</v>
      </c>
      <c r="L6" s="11">
        <f>(J6*K6)</f>
        <v>840</v>
      </c>
    </row>
    <row r="7" spans="1:13" ht="12.15" customHeight="1" x14ac:dyDescent="0.25">
      <c r="A7" s="10"/>
      <c r="C7" t="s">
        <v>22</v>
      </c>
      <c r="J7" s="8"/>
      <c r="L7" s="11"/>
    </row>
    <row r="8" spans="1:13" ht="12.15" customHeight="1" thickBot="1" x14ac:dyDescent="0.3">
      <c r="A8" s="10"/>
      <c r="J8" s="8"/>
      <c r="L8" s="11"/>
    </row>
    <row r="9" spans="1:13" ht="12.15" customHeight="1" thickBot="1" x14ac:dyDescent="0.3">
      <c r="A9" s="12" t="s">
        <v>455</v>
      </c>
      <c r="B9" s="2"/>
      <c r="C9" t="s">
        <v>607</v>
      </c>
      <c r="J9" s="8">
        <f>'Maximum Rates'!D7</f>
        <v>102</v>
      </c>
      <c r="K9" s="551">
        <v>24</v>
      </c>
      <c r="L9" s="11">
        <f>(J9*K9)</f>
        <v>2448</v>
      </c>
    </row>
    <row r="10" spans="1:13" ht="12.15" customHeight="1" x14ac:dyDescent="0.25">
      <c r="A10" s="12" t="s">
        <v>218</v>
      </c>
      <c r="B10" s="2"/>
      <c r="C10" t="s">
        <v>22</v>
      </c>
      <c r="J10" s="8"/>
      <c r="L10" s="11"/>
    </row>
    <row r="11" spans="1:13" ht="12.15" customHeight="1" thickBot="1" x14ac:dyDescent="0.3">
      <c r="A11" s="10"/>
      <c r="J11" s="8"/>
      <c r="L11" s="11"/>
    </row>
    <row r="12" spans="1:13" ht="12.15" customHeight="1" thickBot="1" x14ac:dyDescent="0.3">
      <c r="A12" s="12" t="s">
        <v>456</v>
      </c>
      <c r="B12" s="2"/>
      <c r="C12" t="s">
        <v>536</v>
      </c>
      <c r="J12" s="8">
        <f>'Maximum Rates'!D10</f>
        <v>74</v>
      </c>
      <c r="K12" s="551">
        <v>7</v>
      </c>
      <c r="L12" s="11">
        <f>(J12*K12)</f>
        <v>518</v>
      </c>
    </row>
    <row r="13" spans="1:13" ht="12.15" customHeight="1" x14ac:dyDescent="0.25">
      <c r="A13" s="10"/>
      <c r="C13" t="s">
        <v>397</v>
      </c>
      <c r="J13" s="8"/>
      <c r="L13" s="11"/>
    </row>
    <row r="14" spans="1:13" ht="12.15" customHeight="1" thickBot="1" x14ac:dyDescent="0.3">
      <c r="A14" s="10"/>
      <c r="C14" t="s">
        <v>22</v>
      </c>
      <c r="J14" s="8"/>
      <c r="L14" s="11"/>
    </row>
    <row r="15" spans="1:13" ht="12.15" customHeight="1" thickBot="1" x14ac:dyDescent="0.3">
      <c r="A15" s="12" t="s">
        <v>457</v>
      </c>
      <c r="B15" s="2"/>
      <c r="C15" s="48" t="s">
        <v>464</v>
      </c>
      <c r="J15" s="8">
        <f>'Maximum Rates'!D11</f>
        <v>60</v>
      </c>
      <c r="K15" s="551">
        <v>4</v>
      </c>
      <c r="L15" s="11">
        <f>(J15*K15)</f>
        <v>240</v>
      </c>
    </row>
    <row r="16" spans="1:13" ht="12.15" customHeight="1" thickBot="1" x14ac:dyDescent="0.3">
      <c r="A16" s="10"/>
      <c r="C16" t="s">
        <v>22</v>
      </c>
      <c r="L16" s="11"/>
    </row>
    <row r="17" spans="1:12" ht="12.15" customHeight="1" thickBot="1" x14ac:dyDescent="0.3">
      <c r="A17" s="13"/>
      <c r="B17" s="14"/>
      <c r="C17" s="14"/>
      <c r="D17" s="14"/>
      <c r="E17" s="14"/>
      <c r="F17" s="14"/>
      <c r="G17" s="914" t="s">
        <v>775</v>
      </c>
      <c r="H17" s="564"/>
      <c r="I17" s="564"/>
      <c r="J17" s="564"/>
      <c r="K17" s="564"/>
      <c r="L17" s="6">
        <f>SUM(L3:L16)</f>
        <v>4656</v>
      </c>
    </row>
    <row r="18" spans="1:12" ht="12.15" customHeight="1" thickBot="1" x14ac:dyDescent="0.3"/>
    <row r="19" spans="1:12" ht="18" customHeight="1" x14ac:dyDescent="0.25">
      <c r="A19" s="875" t="s">
        <v>776</v>
      </c>
      <c r="B19" s="876"/>
      <c r="C19" s="876"/>
      <c r="D19" s="876"/>
      <c r="E19" s="876"/>
      <c r="F19" s="876"/>
      <c r="G19" s="876"/>
      <c r="H19" s="876"/>
      <c r="I19" s="876"/>
      <c r="J19" s="876"/>
      <c r="K19" s="876"/>
      <c r="L19" s="877"/>
    </row>
    <row r="20" spans="1:12" ht="12.15" customHeight="1" thickBot="1" x14ac:dyDescent="0.3">
      <c r="A20" s="10"/>
      <c r="L20" s="17"/>
    </row>
    <row r="21" spans="1:12" ht="12.15" customHeight="1" thickBot="1" x14ac:dyDescent="0.3">
      <c r="A21" s="12" t="s">
        <v>453</v>
      </c>
      <c r="B21" s="2"/>
      <c r="C21" t="s">
        <v>1</v>
      </c>
      <c r="J21" s="8">
        <f>'Maximum Rates'!D5</f>
        <v>122</v>
      </c>
      <c r="K21" s="551">
        <v>5</v>
      </c>
      <c r="L21" s="11">
        <f>(J21*K21)</f>
        <v>610</v>
      </c>
    </row>
    <row r="22" spans="1:12" ht="12.15" customHeight="1" x14ac:dyDescent="0.25">
      <c r="A22" s="10"/>
      <c r="C22" s="48" t="s">
        <v>49</v>
      </c>
      <c r="J22" s="8"/>
      <c r="L22" s="11"/>
    </row>
    <row r="23" spans="1:12" ht="12.15" customHeight="1" thickBot="1" x14ac:dyDescent="0.3">
      <c r="A23" s="10"/>
      <c r="C23" t="s">
        <v>22</v>
      </c>
      <c r="J23" s="8"/>
      <c r="L23" s="11"/>
    </row>
    <row r="24" spans="1:12" ht="12.15" customHeight="1" thickBot="1" x14ac:dyDescent="0.3">
      <c r="A24" s="12" t="s">
        <v>454</v>
      </c>
      <c r="B24" s="2"/>
      <c r="C24" t="s">
        <v>535</v>
      </c>
      <c r="J24" s="8">
        <f>'Maximum Rates'!D6</f>
        <v>140</v>
      </c>
      <c r="K24" s="551">
        <v>6</v>
      </c>
      <c r="L24" s="11">
        <f>(J24*K24)</f>
        <v>840</v>
      </c>
    </row>
    <row r="25" spans="1:12" ht="12.15" customHeight="1" x14ac:dyDescent="0.25">
      <c r="A25" s="10"/>
      <c r="C25" t="s">
        <v>22</v>
      </c>
      <c r="J25" s="8"/>
      <c r="L25" s="11"/>
    </row>
    <row r="26" spans="1:12" ht="12.15" customHeight="1" thickBot="1" x14ac:dyDescent="0.3">
      <c r="A26" s="10"/>
      <c r="J26" s="8"/>
      <c r="L26" s="11"/>
    </row>
    <row r="27" spans="1:12" ht="12.15" customHeight="1" thickBot="1" x14ac:dyDescent="0.3">
      <c r="A27" s="12" t="s">
        <v>455</v>
      </c>
      <c r="B27" s="2"/>
      <c r="C27" t="s">
        <v>607</v>
      </c>
      <c r="J27" s="8">
        <f>'Maximum Rates'!D7</f>
        <v>102</v>
      </c>
      <c r="K27" s="551">
        <v>26</v>
      </c>
      <c r="L27" s="11">
        <f>(J27*K27)</f>
        <v>2652</v>
      </c>
    </row>
    <row r="28" spans="1:12" ht="12.15" customHeight="1" x14ac:dyDescent="0.25">
      <c r="A28" s="12" t="s">
        <v>218</v>
      </c>
      <c r="B28" s="2"/>
      <c r="C28" t="s">
        <v>22</v>
      </c>
      <c r="J28" s="8"/>
      <c r="L28" s="11"/>
    </row>
    <row r="29" spans="1:12" ht="12.15" customHeight="1" thickBot="1" x14ac:dyDescent="0.3">
      <c r="A29" s="10"/>
      <c r="J29" s="8"/>
      <c r="L29" s="11"/>
    </row>
    <row r="30" spans="1:12" ht="12.15" customHeight="1" thickBot="1" x14ac:dyDescent="0.3">
      <c r="A30" s="12" t="s">
        <v>456</v>
      </c>
      <c r="B30" s="2"/>
      <c r="C30" t="s">
        <v>536</v>
      </c>
      <c r="J30" s="8">
        <f>'Maximum Rates'!D10</f>
        <v>74</v>
      </c>
      <c r="K30" s="551">
        <v>8</v>
      </c>
      <c r="L30" s="11">
        <f>(J30*K30)</f>
        <v>592</v>
      </c>
    </row>
    <row r="31" spans="1:12" ht="12.15" customHeight="1" x14ac:dyDescent="0.25">
      <c r="A31" s="10"/>
      <c r="C31" t="s">
        <v>397</v>
      </c>
      <c r="J31" s="8"/>
      <c r="L31" s="11"/>
    </row>
    <row r="32" spans="1:12" ht="12.15" customHeight="1" thickBot="1" x14ac:dyDescent="0.3">
      <c r="A32" s="10"/>
      <c r="C32" t="s">
        <v>22</v>
      </c>
      <c r="J32" s="8"/>
      <c r="L32" s="11"/>
    </row>
    <row r="33" spans="1:12" ht="12.15" customHeight="1" thickBot="1" x14ac:dyDescent="0.3">
      <c r="A33" s="12" t="s">
        <v>457</v>
      </c>
      <c r="B33" s="2"/>
      <c r="C33" s="48" t="s">
        <v>464</v>
      </c>
      <c r="J33" s="8">
        <f>'Maximum Rates'!D11</f>
        <v>60</v>
      </c>
      <c r="K33" s="551">
        <v>4</v>
      </c>
      <c r="L33" s="11">
        <f>(J33*K33)</f>
        <v>240</v>
      </c>
    </row>
    <row r="34" spans="1:12" ht="12.15" customHeight="1" thickBot="1" x14ac:dyDescent="0.3">
      <c r="A34" s="10"/>
      <c r="C34" t="s">
        <v>22</v>
      </c>
      <c r="L34" s="11"/>
    </row>
    <row r="35" spans="1:12" ht="12.15" customHeight="1" thickBot="1" x14ac:dyDescent="0.3">
      <c r="A35" s="13"/>
      <c r="B35" s="14"/>
      <c r="C35" s="14"/>
      <c r="D35" s="14"/>
      <c r="E35" s="14"/>
      <c r="F35" s="14"/>
      <c r="G35" s="914" t="s">
        <v>777</v>
      </c>
      <c r="H35" s="564"/>
      <c r="I35" s="564"/>
      <c r="J35" s="564"/>
      <c r="K35" s="564"/>
      <c r="L35" s="6">
        <f>SUM(L21:L34)</f>
        <v>4934</v>
      </c>
    </row>
    <row r="36" spans="1:12" ht="12.15" customHeight="1" thickBot="1" x14ac:dyDescent="0.3"/>
    <row r="37" spans="1:12" ht="18" customHeight="1" x14ac:dyDescent="0.25">
      <c r="A37" s="875" t="s">
        <v>778</v>
      </c>
      <c r="B37" s="876"/>
      <c r="C37" s="876"/>
      <c r="D37" s="876"/>
      <c r="E37" s="876"/>
      <c r="F37" s="876"/>
      <c r="G37" s="876"/>
      <c r="H37" s="876"/>
      <c r="I37" s="876"/>
      <c r="J37" s="876"/>
      <c r="K37" s="876"/>
      <c r="L37" s="877"/>
    </row>
    <row r="38" spans="1:12" ht="12.15" customHeight="1" thickBot="1" x14ac:dyDescent="0.3">
      <c r="A38" s="10"/>
      <c r="L38" s="17"/>
    </row>
    <row r="39" spans="1:12" ht="12.15" customHeight="1" thickBot="1" x14ac:dyDescent="0.3">
      <c r="A39" s="12" t="s">
        <v>453</v>
      </c>
      <c r="B39" s="2"/>
      <c r="C39" s="48" t="s">
        <v>50</v>
      </c>
      <c r="J39" s="8">
        <f>'Maximum Rates'!D5</f>
        <v>122</v>
      </c>
      <c r="K39" s="551">
        <v>5</v>
      </c>
      <c r="L39" s="11">
        <f>(J39*K39)</f>
        <v>610</v>
      </c>
    </row>
    <row r="40" spans="1:12" ht="12.15" customHeight="1" x14ac:dyDescent="0.25">
      <c r="A40" s="10"/>
      <c r="C40" t="s">
        <v>534</v>
      </c>
      <c r="J40" s="8"/>
      <c r="L40" s="11"/>
    </row>
    <row r="41" spans="1:12" ht="12.15" customHeight="1" thickBot="1" x14ac:dyDescent="0.3">
      <c r="A41" s="10"/>
      <c r="C41" t="s">
        <v>22</v>
      </c>
      <c r="J41" s="8"/>
      <c r="L41" s="11"/>
    </row>
    <row r="42" spans="1:12" ht="12.15" customHeight="1" thickBot="1" x14ac:dyDescent="0.3">
      <c r="A42" s="12" t="s">
        <v>454</v>
      </c>
      <c r="B42" s="2"/>
      <c r="C42" t="s">
        <v>535</v>
      </c>
      <c r="J42" s="8">
        <f>'Maximum Rates'!D6</f>
        <v>140</v>
      </c>
      <c r="K42" s="551">
        <v>6</v>
      </c>
      <c r="L42" s="11">
        <f>(J42*K42)</f>
        <v>840</v>
      </c>
    </row>
    <row r="43" spans="1:12" ht="12.15" customHeight="1" x14ac:dyDescent="0.25">
      <c r="A43" s="10"/>
      <c r="C43" t="s">
        <v>22</v>
      </c>
      <c r="J43" s="8"/>
      <c r="L43" s="11"/>
    </row>
    <row r="44" spans="1:12" ht="12.15" customHeight="1" thickBot="1" x14ac:dyDescent="0.3">
      <c r="A44" s="10"/>
      <c r="J44" s="8"/>
      <c r="L44" s="11"/>
    </row>
    <row r="45" spans="1:12" ht="12.15" customHeight="1" thickBot="1" x14ac:dyDescent="0.3">
      <c r="A45" s="12" t="s">
        <v>455</v>
      </c>
      <c r="B45" s="2"/>
      <c r="C45" t="s">
        <v>607</v>
      </c>
      <c r="J45" s="8">
        <f>'Maximum Rates'!D7</f>
        <v>102</v>
      </c>
      <c r="K45" s="551">
        <v>24</v>
      </c>
      <c r="L45" s="11">
        <f>(J45*K45)</f>
        <v>2448</v>
      </c>
    </row>
    <row r="46" spans="1:12" ht="12.15" customHeight="1" x14ac:dyDescent="0.25">
      <c r="A46" s="12" t="s">
        <v>218</v>
      </c>
      <c r="B46" s="2"/>
      <c r="C46" t="s">
        <v>22</v>
      </c>
      <c r="J46" s="8"/>
      <c r="L46" s="11"/>
    </row>
    <row r="47" spans="1:12" ht="12.15" customHeight="1" thickBot="1" x14ac:dyDescent="0.3">
      <c r="A47" s="10"/>
      <c r="J47" s="8"/>
      <c r="L47" s="11"/>
    </row>
    <row r="48" spans="1:12" ht="12.15" customHeight="1" thickBot="1" x14ac:dyDescent="0.3">
      <c r="A48" s="12" t="s">
        <v>456</v>
      </c>
      <c r="B48" s="2"/>
      <c r="C48" t="s">
        <v>536</v>
      </c>
      <c r="J48" s="8">
        <f>'Maximum Rates'!D10</f>
        <v>74</v>
      </c>
      <c r="K48" s="551">
        <v>7</v>
      </c>
      <c r="L48" s="11">
        <f>(J48*K48)</f>
        <v>518</v>
      </c>
    </row>
    <row r="49" spans="1:12" ht="12.15" customHeight="1" x14ac:dyDescent="0.25">
      <c r="A49" s="10"/>
      <c r="C49" t="s">
        <v>397</v>
      </c>
      <c r="J49" s="8"/>
      <c r="L49" s="11"/>
    </row>
    <row r="50" spans="1:12" ht="12.15" customHeight="1" thickBot="1" x14ac:dyDescent="0.3">
      <c r="A50" s="10"/>
      <c r="C50" t="s">
        <v>22</v>
      </c>
      <c r="J50" s="8"/>
      <c r="L50" s="11"/>
    </row>
    <row r="51" spans="1:12" ht="12.15" customHeight="1" thickBot="1" x14ac:dyDescent="0.3">
      <c r="A51" s="12" t="s">
        <v>457</v>
      </c>
      <c r="B51" s="2"/>
      <c r="C51" s="48" t="s">
        <v>51</v>
      </c>
      <c r="J51" s="8">
        <f>'Maximum Rates'!D11</f>
        <v>60</v>
      </c>
      <c r="K51" s="551">
        <v>4</v>
      </c>
      <c r="L51" s="11">
        <f>(J51*K51)</f>
        <v>240</v>
      </c>
    </row>
    <row r="52" spans="1:12" ht="12.15" customHeight="1" thickBot="1" x14ac:dyDescent="0.3">
      <c r="A52" s="10"/>
      <c r="C52" t="s">
        <v>22</v>
      </c>
      <c r="L52" s="11"/>
    </row>
    <row r="53" spans="1:12" ht="12.15" customHeight="1" thickBot="1" x14ac:dyDescent="0.3">
      <c r="A53" s="13"/>
      <c r="B53" s="14"/>
      <c r="C53" s="14"/>
      <c r="D53" s="14"/>
      <c r="E53" s="14"/>
      <c r="F53" s="14"/>
      <c r="G53" s="914" t="s">
        <v>779</v>
      </c>
      <c r="H53" s="564"/>
      <c r="I53" s="564"/>
      <c r="J53" s="564"/>
      <c r="K53" s="564"/>
      <c r="L53" s="6">
        <f>SUM(L39:L52)</f>
        <v>4656</v>
      </c>
    </row>
    <row r="54" spans="1:12" ht="12.15" customHeight="1" x14ac:dyDescent="0.25"/>
    <row r="55" spans="1:12" ht="12.15" customHeight="1" x14ac:dyDescent="0.25"/>
    <row r="56" spans="1:12" ht="12.15" customHeight="1" x14ac:dyDescent="0.25"/>
    <row r="57" spans="1:12" ht="12.15" customHeight="1" x14ac:dyDescent="0.25"/>
    <row r="58" spans="1:12" ht="12.15" customHeight="1" x14ac:dyDescent="0.25"/>
    <row r="59" spans="1:12" ht="12.15" customHeight="1" x14ac:dyDescent="0.25"/>
    <row r="60" spans="1:12" ht="12.15" customHeight="1" x14ac:dyDescent="0.25"/>
    <row r="61" spans="1:12" ht="12.15" customHeight="1" thickBot="1" x14ac:dyDescent="0.3"/>
    <row r="62" spans="1:12" ht="18" customHeight="1" x14ac:dyDescent="0.25">
      <c r="A62" s="875" t="s">
        <v>780</v>
      </c>
      <c r="B62" s="876"/>
      <c r="C62" s="876"/>
      <c r="D62" s="876"/>
      <c r="E62" s="876"/>
      <c r="F62" s="876"/>
      <c r="G62" s="876"/>
      <c r="H62" s="876"/>
      <c r="I62" s="876"/>
      <c r="J62" s="876"/>
      <c r="K62" s="876"/>
      <c r="L62" s="877"/>
    </row>
    <row r="63" spans="1:12" ht="12.15" customHeight="1" thickBot="1" x14ac:dyDescent="0.3">
      <c r="A63" s="10"/>
      <c r="L63" s="17"/>
    </row>
    <row r="64" spans="1:12" ht="12.15" customHeight="1" thickBot="1" x14ac:dyDescent="0.3">
      <c r="A64" s="12" t="s">
        <v>453</v>
      </c>
      <c r="B64" s="2"/>
      <c r="C64" s="48" t="s">
        <v>50</v>
      </c>
      <c r="J64" s="8">
        <f>'Maximum Rates'!D5</f>
        <v>122</v>
      </c>
      <c r="K64" s="551">
        <v>5</v>
      </c>
      <c r="L64" s="11">
        <f>(J64*K64)</f>
        <v>610</v>
      </c>
    </row>
    <row r="65" spans="1:12" ht="12.15" customHeight="1" x14ac:dyDescent="0.25">
      <c r="A65" s="10"/>
      <c r="C65" t="s">
        <v>534</v>
      </c>
      <c r="J65" s="8"/>
      <c r="L65" s="11"/>
    </row>
    <row r="66" spans="1:12" ht="12.15" customHeight="1" thickBot="1" x14ac:dyDescent="0.3">
      <c r="A66" s="10"/>
      <c r="C66" t="s">
        <v>22</v>
      </c>
      <c r="J66" s="8"/>
      <c r="L66" s="11"/>
    </row>
    <row r="67" spans="1:12" ht="12.15" customHeight="1" thickBot="1" x14ac:dyDescent="0.3">
      <c r="A67" s="12" t="s">
        <v>454</v>
      </c>
      <c r="B67" s="2"/>
      <c r="C67" t="s">
        <v>535</v>
      </c>
      <c r="J67" s="8">
        <f>'Maximum Rates'!D6</f>
        <v>140</v>
      </c>
      <c r="K67" s="551">
        <v>6</v>
      </c>
      <c r="L67" s="11">
        <f>(J67*K67)</f>
        <v>840</v>
      </c>
    </row>
    <row r="68" spans="1:12" ht="12.15" customHeight="1" x14ac:dyDescent="0.25">
      <c r="A68" s="10"/>
      <c r="C68" t="s">
        <v>22</v>
      </c>
      <c r="J68" s="8"/>
      <c r="L68" s="11"/>
    </row>
    <row r="69" spans="1:12" ht="12.15" customHeight="1" thickBot="1" x14ac:dyDescent="0.3">
      <c r="A69" s="10"/>
      <c r="J69" s="8"/>
      <c r="L69" s="11"/>
    </row>
    <row r="70" spans="1:12" ht="12.15" customHeight="1" thickBot="1" x14ac:dyDescent="0.3">
      <c r="A70" s="12" t="s">
        <v>455</v>
      </c>
      <c r="B70" s="2"/>
      <c r="C70" t="s">
        <v>607</v>
      </c>
      <c r="J70" s="8">
        <f>'Maximum Rates'!D7</f>
        <v>102</v>
      </c>
      <c r="K70" s="551">
        <v>26</v>
      </c>
      <c r="L70" s="11">
        <f>(J70*K70)</f>
        <v>2652</v>
      </c>
    </row>
    <row r="71" spans="1:12" ht="12.15" customHeight="1" x14ac:dyDescent="0.25">
      <c r="A71" s="12" t="s">
        <v>218</v>
      </c>
      <c r="B71" s="2"/>
      <c r="C71" t="s">
        <v>22</v>
      </c>
      <c r="J71" s="8"/>
      <c r="L71" s="11"/>
    </row>
    <row r="72" spans="1:12" ht="12.15" customHeight="1" thickBot="1" x14ac:dyDescent="0.3">
      <c r="A72" s="10"/>
      <c r="J72" s="8"/>
      <c r="L72" s="11"/>
    </row>
    <row r="73" spans="1:12" ht="12.15" customHeight="1" thickBot="1" x14ac:dyDescent="0.3">
      <c r="A73" s="12" t="s">
        <v>456</v>
      </c>
      <c r="B73" s="2"/>
      <c r="C73" t="s">
        <v>536</v>
      </c>
      <c r="J73" s="8">
        <f>'Maximum Rates'!D10</f>
        <v>74</v>
      </c>
      <c r="K73" s="551">
        <v>8</v>
      </c>
      <c r="L73" s="11">
        <f>(J73*K73)</f>
        <v>592</v>
      </c>
    </row>
    <row r="74" spans="1:12" ht="12.15" customHeight="1" x14ac:dyDescent="0.25">
      <c r="A74" s="10"/>
      <c r="C74" t="s">
        <v>397</v>
      </c>
      <c r="J74" s="8"/>
      <c r="L74" s="11"/>
    </row>
    <row r="75" spans="1:12" ht="12.15" customHeight="1" thickBot="1" x14ac:dyDescent="0.3">
      <c r="A75" s="10"/>
      <c r="C75" t="s">
        <v>22</v>
      </c>
      <c r="J75" s="8"/>
      <c r="L75" s="11"/>
    </row>
    <row r="76" spans="1:12" ht="12.15" customHeight="1" thickBot="1" x14ac:dyDescent="0.3">
      <c r="A76" s="12" t="s">
        <v>457</v>
      </c>
      <c r="B76" s="2"/>
      <c r="C76" s="48" t="s">
        <v>464</v>
      </c>
      <c r="J76" s="8">
        <f>'Maximum Rates'!D11</f>
        <v>60</v>
      </c>
      <c r="K76" s="551">
        <v>4</v>
      </c>
      <c r="L76" s="11">
        <f>(J76*K76)</f>
        <v>240</v>
      </c>
    </row>
    <row r="77" spans="1:12" ht="12.15" customHeight="1" thickBot="1" x14ac:dyDescent="0.3">
      <c r="A77" s="10"/>
      <c r="C77" t="s">
        <v>22</v>
      </c>
      <c r="L77" s="11"/>
    </row>
    <row r="78" spans="1:12" ht="12.15" customHeight="1" thickBot="1" x14ac:dyDescent="0.3">
      <c r="A78" s="13"/>
      <c r="B78" s="14"/>
      <c r="C78" s="14"/>
      <c r="D78" s="14"/>
      <c r="E78" s="14"/>
      <c r="F78" s="14"/>
      <c r="G78" s="914" t="s">
        <v>781</v>
      </c>
      <c r="H78" s="564"/>
      <c r="I78" s="564"/>
      <c r="J78" s="564"/>
      <c r="K78" s="564"/>
      <c r="L78" s="6">
        <f>SUM(L64:L77)</f>
        <v>4934</v>
      </c>
    </row>
    <row r="79" spans="1:12" ht="12.15" customHeight="1" x14ac:dyDescent="0.25">
      <c r="A79" s="7"/>
      <c r="B79" s="7"/>
      <c r="C79" s="7"/>
      <c r="D79" s="7"/>
      <c r="E79" s="7"/>
      <c r="F79" s="7"/>
      <c r="G79" s="7"/>
      <c r="H79" s="7"/>
      <c r="I79" s="7"/>
      <c r="J79" s="7"/>
      <c r="K79" s="7"/>
      <c r="L79" s="7"/>
    </row>
    <row r="80" spans="1:12" ht="12.15" customHeight="1" thickBot="1" x14ac:dyDescent="0.3">
      <c r="A80" s="14"/>
      <c r="B80" s="14"/>
      <c r="C80" s="14"/>
      <c r="D80" s="14"/>
      <c r="E80" s="14"/>
      <c r="F80" s="14"/>
      <c r="G80" s="14"/>
      <c r="H80" s="14"/>
      <c r="I80" s="14"/>
      <c r="J80" s="14"/>
      <c r="K80" s="14"/>
      <c r="L80" s="14"/>
    </row>
    <row r="81" spans="1:12" ht="12.15" customHeight="1" thickBot="1" x14ac:dyDescent="0.3">
      <c r="A81" s="20" t="s">
        <v>469</v>
      </c>
      <c r="B81" s="21"/>
      <c r="C81" s="21"/>
      <c r="D81" s="21"/>
      <c r="E81" s="7"/>
      <c r="F81" s="7"/>
      <c r="G81" s="563" t="s">
        <v>577</v>
      </c>
      <c r="H81" s="564"/>
      <c r="I81" s="564"/>
      <c r="J81" s="564"/>
      <c r="K81" s="564"/>
      <c r="L81" s="5">
        <f>SUM(D82+G82)</f>
        <v>44</v>
      </c>
    </row>
    <row r="82" spans="1:12" ht="12.15" customHeight="1" thickBot="1" x14ac:dyDescent="0.3">
      <c r="A82" s="566" t="s">
        <v>608</v>
      </c>
      <c r="B82" s="567"/>
      <c r="C82" s="551">
        <v>0.25</v>
      </c>
      <c r="D82" s="571">
        <f>(C82)*('Maximum Rates'!$D$7)</f>
        <v>25.5</v>
      </c>
      <c r="E82" s="569" t="s">
        <v>444</v>
      </c>
      <c r="F82" s="551">
        <v>0.25</v>
      </c>
      <c r="G82" s="19">
        <f>(F82)*('Maximum Rates'!$D$10)</f>
        <v>18.5</v>
      </c>
      <c r="H82" s="19"/>
      <c r="I82" s="437"/>
      <c r="J82" s="23"/>
      <c r="K82" s="29"/>
      <c r="L82" s="40"/>
    </row>
    <row r="83" spans="1:12" ht="12.15" customHeight="1" thickBot="1" x14ac:dyDescent="0.3">
      <c r="A83" s="29"/>
      <c r="B83" s="29"/>
      <c r="C83" s="29"/>
      <c r="D83" s="29"/>
      <c r="E83" s="29"/>
      <c r="F83" s="29"/>
      <c r="G83" s="29"/>
      <c r="H83" s="29"/>
      <c r="I83" s="29"/>
      <c r="J83" s="29"/>
      <c r="K83" s="29"/>
      <c r="L83" s="29"/>
    </row>
    <row r="84" spans="1:12" ht="12.15" customHeight="1" thickBot="1" x14ac:dyDescent="0.3">
      <c r="A84" s="20" t="s">
        <v>578</v>
      </c>
      <c r="B84" s="21"/>
      <c r="C84" s="21"/>
      <c r="D84" s="21"/>
      <c r="E84" s="7"/>
      <c r="F84" s="563" t="s">
        <v>579</v>
      </c>
      <c r="G84" s="605"/>
      <c r="H84" s="605"/>
      <c r="I84" s="564"/>
      <c r="J84" s="564"/>
      <c r="K84" s="564"/>
      <c r="L84" s="5">
        <f>SUM(D85+G85)</f>
        <v>52.8</v>
      </c>
    </row>
    <row r="85" spans="1:12" ht="12.15" customHeight="1" thickBot="1" x14ac:dyDescent="0.3">
      <c r="A85" s="566" t="s">
        <v>608</v>
      </c>
      <c r="B85" s="567"/>
      <c r="C85" s="551">
        <v>0.3</v>
      </c>
      <c r="D85" s="603">
        <f>(C85)*('Maximum Rates'!$D$7)</f>
        <v>30.599999999999998</v>
      </c>
      <c r="E85" s="569" t="s">
        <v>444</v>
      </c>
      <c r="F85" s="554">
        <v>0.3</v>
      </c>
      <c r="G85" s="19">
        <f>(F85)*('Maximum Rates'!$D$10)</f>
        <v>22.2</v>
      </c>
      <c r="H85" s="19"/>
      <c r="I85" s="604"/>
      <c r="J85" s="19"/>
      <c r="K85" s="19"/>
      <c r="L85" s="63"/>
    </row>
    <row r="86" spans="1:12" ht="12.15" customHeight="1" thickBot="1" x14ac:dyDescent="0.3">
      <c r="A86" s="29"/>
      <c r="B86" s="29"/>
      <c r="C86" s="29"/>
      <c r="D86" s="29"/>
      <c r="E86" s="29"/>
      <c r="F86" s="29"/>
      <c r="G86" s="29"/>
      <c r="H86" s="29"/>
      <c r="I86" s="29"/>
      <c r="J86" s="29"/>
      <c r="K86" s="29"/>
      <c r="L86" s="29"/>
    </row>
    <row r="87" spans="1:12" ht="12.15" customHeight="1" thickBot="1" x14ac:dyDescent="0.3">
      <c r="A87" s="600" t="s">
        <v>508</v>
      </c>
      <c r="B87" s="601"/>
      <c r="C87" s="601"/>
      <c r="D87" s="601"/>
      <c r="E87" s="439"/>
      <c r="F87" s="7"/>
      <c r="G87" s="563" t="s">
        <v>509</v>
      </c>
      <c r="H87" s="564"/>
      <c r="I87" s="564"/>
      <c r="J87" s="564"/>
      <c r="K87" s="564"/>
      <c r="L87" s="5">
        <f>D88+G88</f>
        <v>2670</v>
      </c>
    </row>
    <row r="88" spans="1:12" ht="12.15" customHeight="1" thickBot="1" x14ac:dyDescent="0.3">
      <c r="A88" s="566" t="s">
        <v>608</v>
      </c>
      <c r="B88" s="567"/>
      <c r="C88" s="554">
        <v>24</v>
      </c>
      <c r="D88" s="23">
        <f>(C88)*('Maximum Rates'!$D$7)</f>
        <v>2448</v>
      </c>
      <c r="E88" s="569" t="s">
        <v>444</v>
      </c>
      <c r="F88" s="551">
        <v>3</v>
      </c>
      <c r="G88" s="19">
        <f>(F88)*('Maximum Rates'!$D$10)</f>
        <v>222</v>
      </c>
      <c r="H88" s="19"/>
      <c r="I88" s="437"/>
      <c r="J88" s="41"/>
      <c r="K88" s="29"/>
      <c r="L88" s="40"/>
    </row>
    <row r="89" spans="1:12" ht="12.15" customHeight="1" thickBot="1" x14ac:dyDescent="0.3">
      <c r="L89" s="7"/>
    </row>
    <row r="90" spans="1:12" ht="18" customHeight="1" x14ac:dyDescent="0.25">
      <c r="A90" s="875" t="s">
        <v>204</v>
      </c>
      <c r="B90" s="876"/>
      <c r="C90" s="876"/>
      <c r="D90" s="876"/>
      <c r="E90" s="876"/>
      <c r="F90" s="876"/>
      <c r="G90" s="876"/>
      <c r="H90" s="876"/>
      <c r="I90" s="876"/>
      <c r="J90" s="876"/>
      <c r="K90" s="876"/>
      <c r="L90" s="877"/>
    </row>
    <row r="91" spans="1:12" ht="12.15" customHeight="1" thickBot="1" x14ac:dyDescent="0.3">
      <c r="A91" s="10"/>
      <c r="L91" s="17"/>
    </row>
    <row r="92" spans="1:12" ht="12.15" customHeight="1" thickBot="1" x14ac:dyDescent="0.3">
      <c r="A92" s="12" t="s">
        <v>453</v>
      </c>
      <c r="B92" s="2"/>
      <c r="C92" s="48" t="s">
        <v>50</v>
      </c>
      <c r="J92" s="8">
        <f>'Maximum Rates'!D5</f>
        <v>122</v>
      </c>
      <c r="K92" s="551">
        <v>7</v>
      </c>
      <c r="L92" s="11">
        <f>(J92*K92)</f>
        <v>854</v>
      </c>
    </row>
    <row r="93" spans="1:12" ht="12.15" customHeight="1" x14ac:dyDescent="0.25">
      <c r="A93" s="10"/>
      <c r="C93" t="s">
        <v>534</v>
      </c>
      <c r="J93" s="8"/>
      <c r="L93" s="11"/>
    </row>
    <row r="94" spans="1:12" ht="12.15" customHeight="1" thickBot="1" x14ac:dyDescent="0.3">
      <c r="A94" s="10"/>
      <c r="C94" t="s">
        <v>22</v>
      </c>
      <c r="J94" s="8"/>
      <c r="L94" s="11"/>
    </row>
    <row r="95" spans="1:12" ht="12.15" customHeight="1" thickBot="1" x14ac:dyDescent="0.3">
      <c r="A95" s="12" t="s">
        <v>454</v>
      </c>
      <c r="B95" s="2"/>
      <c r="C95" t="s">
        <v>535</v>
      </c>
      <c r="J95" s="8">
        <f>'Maximum Rates'!D6</f>
        <v>140</v>
      </c>
      <c r="K95" s="551">
        <v>3</v>
      </c>
      <c r="L95" s="11">
        <f>(J95*K95)</f>
        <v>420</v>
      </c>
    </row>
    <row r="96" spans="1:12" ht="12.15" customHeight="1" x14ac:dyDescent="0.25">
      <c r="A96" s="10"/>
      <c r="C96" t="s">
        <v>22</v>
      </c>
      <c r="J96" s="8"/>
      <c r="L96" s="11"/>
    </row>
    <row r="97" spans="1:12" ht="12.15" customHeight="1" thickBot="1" x14ac:dyDescent="0.3">
      <c r="A97" s="10"/>
      <c r="J97" s="8"/>
      <c r="L97" s="11"/>
    </row>
    <row r="98" spans="1:12" ht="12.15" customHeight="1" thickBot="1" x14ac:dyDescent="0.3">
      <c r="A98" s="12" t="s">
        <v>455</v>
      </c>
      <c r="B98" s="2"/>
      <c r="C98" t="s">
        <v>205</v>
      </c>
      <c r="J98" s="8">
        <f>'Maximum Rates'!D7</f>
        <v>102</v>
      </c>
      <c r="K98" s="551">
        <v>24</v>
      </c>
      <c r="L98" s="11">
        <f>(J98*K98)</f>
        <v>2448</v>
      </c>
    </row>
    <row r="99" spans="1:12" ht="12.15" customHeight="1" x14ac:dyDescent="0.25">
      <c r="A99" s="12" t="s">
        <v>218</v>
      </c>
      <c r="B99" s="2"/>
      <c r="C99" t="s">
        <v>22</v>
      </c>
      <c r="J99" s="8"/>
      <c r="L99" s="11"/>
    </row>
    <row r="100" spans="1:12" ht="12.15" customHeight="1" thickBot="1" x14ac:dyDescent="0.3">
      <c r="A100" s="10"/>
      <c r="J100" s="8"/>
      <c r="L100" s="11"/>
    </row>
    <row r="101" spans="1:12" ht="12.15" customHeight="1" thickBot="1" x14ac:dyDescent="0.3">
      <c r="A101" s="12" t="s">
        <v>456</v>
      </c>
      <c r="B101" s="2"/>
      <c r="C101" t="s">
        <v>536</v>
      </c>
      <c r="J101" s="8">
        <f>'Maximum Rates'!D10</f>
        <v>74</v>
      </c>
      <c r="K101" s="551">
        <v>1</v>
      </c>
      <c r="L101" s="11">
        <f>(J101*K101)</f>
        <v>74</v>
      </c>
    </row>
    <row r="102" spans="1:12" ht="12.15" customHeight="1" x14ac:dyDescent="0.25">
      <c r="A102" s="10"/>
      <c r="C102" t="s">
        <v>397</v>
      </c>
      <c r="J102" s="8"/>
      <c r="L102" s="11"/>
    </row>
    <row r="103" spans="1:12" ht="12.15" customHeight="1" thickBot="1" x14ac:dyDescent="0.3">
      <c r="A103" s="10"/>
      <c r="C103" t="s">
        <v>22</v>
      </c>
      <c r="J103" s="8"/>
      <c r="L103" s="11"/>
    </row>
    <row r="104" spans="1:12" ht="12.15" customHeight="1" thickBot="1" x14ac:dyDescent="0.3">
      <c r="A104" s="12" t="s">
        <v>457</v>
      </c>
      <c r="B104" s="2"/>
      <c r="C104" s="48" t="s">
        <v>464</v>
      </c>
      <c r="J104" s="8">
        <f>'Maximum Rates'!D11</f>
        <v>60</v>
      </c>
      <c r="K104" s="551">
        <v>4</v>
      </c>
      <c r="L104" s="11">
        <f>(J104*K104)</f>
        <v>240</v>
      </c>
    </row>
    <row r="105" spans="1:12" ht="12.15" customHeight="1" thickBot="1" x14ac:dyDescent="0.3">
      <c r="A105" s="10"/>
      <c r="C105" t="s">
        <v>22</v>
      </c>
      <c r="L105" s="11"/>
    </row>
    <row r="106" spans="1:12" ht="12.15" customHeight="1" thickBot="1" x14ac:dyDescent="0.3">
      <c r="A106" s="13"/>
      <c r="B106" s="14"/>
      <c r="C106" s="14"/>
      <c r="D106" s="14"/>
      <c r="E106" s="14"/>
      <c r="F106" s="14"/>
      <c r="G106" s="563" t="s">
        <v>203</v>
      </c>
      <c r="H106" s="564"/>
      <c r="I106" s="564"/>
      <c r="J106" s="564"/>
      <c r="K106" s="564"/>
      <c r="L106" s="6">
        <f>SUM(L92:L105)</f>
        <v>4036</v>
      </c>
    </row>
    <row r="107" spans="1:12" ht="12.15" customHeight="1" thickBot="1" x14ac:dyDescent="0.3"/>
    <row r="108" spans="1:12" ht="18" customHeight="1" x14ac:dyDescent="0.25">
      <c r="A108" s="875" t="s">
        <v>1283</v>
      </c>
      <c r="B108" s="876"/>
      <c r="C108" s="876"/>
      <c r="D108" s="876"/>
      <c r="E108" s="876"/>
      <c r="F108" s="876"/>
      <c r="G108" s="876"/>
      <c r="H108" s="876"/>
      <c r="I108" s="876"/>
      <c r="J108" s="876"/>
      <c r="K108" s="876"/>
      <c r="L108" s="877"/>
    </row>
    <row r="109" spans="1:12" ht="12.15" customHeight="1" thickBot="1" x14ac:dyDescent="0.3">
      <c r="A109" s="10"/>
      <c r="L109" s="17"/>
    </row>
    <row r="110" spans="1:12" ht="12.15" customHeight="1" thickBot="1" x14ac:dyDescent="0.3">
      <c r="A110" s="12" t="s">
        <v>453</v>
      </c>
      <c r="B110" s="2"/>
      <c r="C110" s="44" t="s">
        <v>1260</v>
      </c>
      <c r="J110" s="8">
        <f>'Maximum Rates'!D5</f>
        <v>122</v>
      </c>
      <c r="K110" s="551">
        <v>1</v>
      </c>
      <c r="L110" s="11">
        <f>(J110*K110)</f>
        <v>122</v>
      </c>
    </row>
    <row r="111" spans="1:12" ht="12.15" customHeight="1" x14ac:dyDescent="0.25">
      <c r="A111" s="10"/>
      <c r="J111" s="8"/>
      <c r="L111" s="11"/>
    </row>
    <row r="112" spans="1:12" ht="12.15" customHeight="1" thickBot="1" x14ac:dyDescent="0.3">
      <c r="A112" s="10"/>
      <c r="J112" s="8"/>
      <c r="L112" s="11"/>
    </row>
    <row r="113" spans="1:12" ht="12.15" customHeight="1" thickBot="1" x14ac:dyDescent="0.3">
      <c r="A113" s="12" t="s">
        <v>454</v>
      </c>
      <c r="B113" s="2"/>
      <c r="C113" s="44" t="s">
        <v>1261</v>
      </c>
      <c r="J113" s="8">
        <f>'Maximum Rates'!D6</f>
        <v>140</v>
      </c>
      <c r="K113" s="551">
        <v>1</v>
      </c>
      <c r="L113" s="11">
        <f>(J113*K113)</f>
        <v>140</v>
      </c>
    </row>
    <row r="114" spans="1:12" ht="12.15" customHeight="1" x14ac:dyDescent="0.25">
      <c r="A114" s="10"/>
      <c r="J114" s="8"/>
      <c r="L114" s="11"/>
    </row>
    <row r="115" spans="1:12" ht="12.15" customHeight="1" thickBot="1" x14ac:dyDescent="0.3">
      <c r="A115" s="10"/>
      <c r="J115" s="8"/>
      <c r="L115" s="11"/>
    </row>
    <row r="116" spans="1:12" ht="12.15" customHeight="1" thickBot="1" x14ac:dyDescent="0.3">
      <c r="A116" s="12" t="s">
        <v>455</v>
      </c>
      <c r="B116" s="2"/>
      <c r="C116" s="44" t="s">
        <v>1262</v>
      </c>
      <c r="J116" s="8">
        <f>'Maximum Rates'!D7</f>
        <v>102</v>
      </c>
      <c r="K116" s="551">
        <v>2</v>
      </c>
      <c r="L116" s="11">
        <f>(J116*K116)</f>
        <v>204</v>
      </c>
    </row>
    <row r="117" spans="1:12" ht="12.15" customHeight="1" x14ac:dyDescent="0.25">
      <c r="A117" s="12" t="s">
        <v>218</v>
      </c>
      <c r="B117" s="2"/>
      <c r="J117" s="8"/>
      <c r="L117" s="11"/>
    </row>
    <row r="118" spans="1:12" ht="12.15" customHeight="1" thickBot="1" x14ac:dyDescent="0.3">
      <c r="A118" s="10"/>
      <c r="J118" s="8"/>
      <c r="L118" s="11"/>
    </row>
    <row r="119" spans="1:12" ht="12.15" customHeight="1" thickBot="1" x14ac:dyDescent="0.3">
      <c r="A119" s="12" t="s">
        <v>456</v>
      </c>
      <c r="B119" s="2"/>
      <c r="C119" t="s">
        <v>536</v>
      </c>
      <c r="J119" s="8">
        <f>'Maximum Rates'!D10</f>
        <v>74</v>
      </c>
      <c r="K119" s="551">
        <v>1</v>
      </c>
      <c r="L119" s="11">
        <f>(J119*K119)</f>
        <v>74</v>
      </c>
    </row>
    <row r="120" spans="1:12" ht="12.15" customHeight="1" x14ac:dyDescent="0.25">
      <c r="A120" s="10"/>
      <c r="C120" t="s">
        <v>397</v>
      </c>
      <c r="J120" s="8"/>
      <c r="L120" s="11"/>
    </row>
    <row r="121" spans="1:12" ht="12.15" customHeight="1" thickBot="1" x14ac:dyDescent="0.3">
      <c r="A121" s="10"/>
      <c r="C121" t="s">
        <v>22</v>
      </c>
      <c r="J121" s="8"/>
      <c r="L121" s="11"/>
    </row>
    <row r="122" spans="1:12" ht="12.15" customHeight="1" thickBot="1" x14ac:dyDescent="0.3">
      <c r="A122" s="12" t="s">
        <v>457</v>
      </c>
      <c r="B122" s="2"/>
      <c r="C122" s="48" t="s">
        <v>464</v>
      </c>
      <c r="J122" s="8">
        <f>'Maximum Rates'!D11</f>
        <v>60</v>
      </c>
      <c r="K122" s="551">
        <v>1</v>
      </c>
      <c r="L122" s="11">
        <f>(J122*K122)</f>
        <v>60</v>
      </c>
    </row>
    <row r="123" spans="1:12" ht="12.15" customHeight="1" thickBot="1" x14ac:dyDescent="0.3">
      <c r="A123" s="10"/>
      <c r="C123" t="s">
        <v>22</v>
      </c>
      <c r="L123" s="11"/>
    </row>
    <row r="124" spans="1:12" ht="12.15" customHeight="1" thickBot="1" x14ac:dyDescent="0.3">
      <c r="A124" s="13"/>
      <c r="B124" s="14"/>
      <c r="C124" s="14"/>
      <c r="D124" s="14"/>
      <c r="E124" s="14"/>
      <c r="F124" s="14"/>
      <c r="G124" s="628" t="s">
        <v>1243</v>
      </c>
      <c r="H124" s="564"/>
      <c r="I124" s="564"/>
      <c r="J124" s="564"/>
      <c r="K124" s="564"/>
      <c r="L124" s="6">
        <f>SUM(L110:L123)</f>
        <v>600</v>
      </c>
    </row>
    <row r="125" spans="1:12" ht="12.15" customHeight="1" thickBot="1" x14ac:dyDescent="0.3"/>
    <row r="126" spans="1:12" ht="18" customHeight="1" x14ac:dyDescent="0.25">
      <c r="A126" s="875" t="s">
        <v>1264</v>
      </c>
      <c r="B126" s="876"/>
      <c r="C126" s="876"/>
      <c r="D126" s="876"/>
      <c r="E126" s="876"/>
      <c r="F126" s="876"/>
      <c r="G126" s="876"/>
      <c r="H126" s="876"/>
      <c r="I126" s="876"/>
      <c r="J126" s="876"/>
      <c r="K126" s="876"/>
      <c r="L126" s="877"/>
    </row>
    <row r="127" spans="1:12" ht="12.15" customHeight="1" thickBot="1" x14ac:dyDescent="0.3">
      <c r="A127" s="10"/>
      <c r="L127" s="17"/>
    </row>
    <row r="128" spans="1:12" ht="12.15" customHeight="1" thickBot="1" x14ac:dyDescent="0.3">
      <c r="A128" s="12" t="s">
        <v>453</v>
      </c>
      <c r="B128" s="2"/>
      <c r="C128" s="44" t="s">
        <v>1260</v>
      </c>
      <c r="J128" s="8">
        <f>'Maximum Rates'!D5</f>
        <v>122</v>
      </c>
      <c r="K128" s="551">
        <v>1</v>
      </c>
      <c r="L128" s="11">
        <f>(J128*K128)</f>
        <v>122</v>
      </c>
    </row>
    <row r="129" spans="1:12" ht="12.15" customHeight="1" x14ac:dyDescent="0.25">
      <c r="A129" s="10"/>
      <c r="J129" s="8"/>
      <c r="L129" s="11"/>
    </row>
    <row r="130" spans="1:12" ht="12.15" customHeight="1" thickBot="1" x14ac:dyDescent="0.3">
      <c r="A130" s="10"/>
      <c r="J130" s="8"/>
      <c r="L130" s="11"/>
    </row>
    <row r="131" spans="1:12" ht="12.15" customHeight="1" thickBot="1" x14ac:dyDescent="0.3">
      <c r="A131" s="12" t="s">
        <v>454</v>
      </c>
      <c r="B131" s="2"/>
      <c r="C131" s="44" t="s">
        <v>1261</v>
      </c>
      <c r="J131" s="8">
        <f>'Maximum Rates'!D6</f>
        <v>140</v>
      </c>
      <c r="K131" s="551">
        <v>2</v>
      </c>
      <c r="L131" s="11">
        <f>(J131*K131)</f>
        <v>280</v>
      </c>
    </row>
    <row r="132" spans="1:12" ht="12.15" customHeight="1" x14ac:dyDescent="0.25">
      <c r="A132" s="10"/>
      <c r="J132" s="8"/>
      <c r="L132" s="11"/>
    </row>
    <row r="133" spans="1:12" ht="12.15" customHeight="1" thickBot="1" x14ac:dyDescent="0.3">
      <c r="A133" s="10"/>
      <c r="J133" s="8"/>
      <c r="L133" s="11"/>
    </row>
    <row r="134" spans="1:12" ht="12.15" customHeight="1" thickBot="1" x14ac:dyDescent="0.3">
      <c r="A134" s="12" t="s">
        <v>455</v>
      </c>
      <c r="B134" s="2"/>
      <c r="C134" s="44" t="s">
        <v>1263</v>
      </c>
      <c r="J134" s="8">
        <f>'Maximum Rates'!D7</f>
        <v>102</v>
      </c>
      <c r="K134" s="551">
        <v>4</v>
      </c>
      <c r="L134" s="11">
        <f>(J134*K134)</f>
        <v>408</v>
      </c>
    </row>
    <row r="135" spans="1:12" ht="12.15" customHeight="1" x14ac:dyDescent="0.25">
      <c r="A135" s="12" t="s">
        <v>218</v>
      </c>
      <c r="B135" s="2"/>
      <c r="J135" s="8"/>
      <c r="L135" s="11"/>
    </row>
    <row r="136" spans="1:12" ht="12.15" customHeight="1" thickBot="1" x14ac:dyDescent="0.3">
      <c r="A136" s="10"/>
      <c r="J136" s="8"/>
      <c r="L136" s="11"/>
    </row>
    <row r="137" spans="1:12" ht="12.15" customHeight="1" thickBot="1" x14ac:dyDescent="0.3">
      <c r="A137" s="12" t="s">
        <v>456</v>
      </c>
      <c r="B137" s="2"/>
      <c r="C137" t="s">
        <v>536</v>
      </c>
      <c r="J137" s="8">
        <f>'Maximum Rates'!D10</f>
        <v>74</v>
      </c>
      <c r="K137" s="551">
        <v>1</v>
      </c>
      <c r="L137" s="11">
        <f>(J137*K137)</f>
        <v>74</v>
      </c>
    </row>
    <row r="138" spans="1:12" ht="12.15" customHeight="1" x14ac:dyDescent="0.25">
      <c r="A138" s="10"/>
      <c r="C138" t="s">
        <v>397</v>
      </c>
      <c r="J138" s="8"/>
      <c r="L138" s="11"/>
    </row>
    <row r="139" spans="1:12" ht="12.15" customHeight="1" thickBot="1" x14ac:dyDescent="0.3">
      <c r="A139" s="10"/>
      <c r="C139" t="s">
        <v>22</v>
      </c>
      <c r="J139" s="8"/>
      <c r="L139" s="11"/>
    </row>
    <row r="140" spans="1:12" ht="12.15" customHeight="1" thickBot="1" x14ac:dyDescent="0.3">
      <c r="A140" s="12" t="s">
        <v>457</v>
      </c>
      <c r="B140" s="2"/>
      <c r="C140" s="48" t="s">
        <v>464</v>
      </c>
      <c r="J140" s="8">
        <f>'Maximum Rates'!D11</f>
        <v>60</v>
      </c>
      <c r="K140" s="551">
        <v>1</v>
      </c>
      <c r="L140" s="11">
        <f>(J140*K140)</f>
        <v>60</v>
      </c>
    </row>
    <row r="141" spans="1:12" ht="12.15" customHeight="1" thickBot="1" x14ac:dyDescent="0.3">
      <c r="A141" s="10"/>
      <c r="C141" t="s">
        <v>22</v>
      </c>
      <c r="L141" s="11"/>
    </row>
    <row r="142" spans="1:12" ht="12.15" customHeight="1" thickBot="1" x14ac:dyDescent="0.3">
      <c r="A142" s="13"/>
      <c r="B142" s="14"/>
      <c r="C142" s="14"/>
      <c r="D142" s="14"/>
      <c r="E142" s="14"/>
      <c r="F142" s="14"/>
      <c r="G142" s="628" t="s">
        <v>1244</v>
      </c>
      <c r="H142" s="564"/>
      <c r="I142" s="564"/>
      <c r="J142" s="564"/>
      <c r="K142" s="564"/>
      <c r="L142" s="6">
        <f>SUM(L128:L141)</f>
        <v>944</v>
      </c>
    </row>
    <row r="143" spans="1:12" ht="12.15" customHeight="1" x14ac:dyDescent="0.25"/>
    <row r="144" spans="1:12" ht="12.15" customHeight="1" x14ac:dyDescent="0.25"/>
    <row r="145" ht="12.15" customHeight="1" x14ac:dyDescent="0.25"/>
    <row r="146" ht="12.15" customHeight="1" x14ac:dyDescent="0.25"/>
    <row r="147" ht="12.15" customHeight="1" x14ac:dyDescent="0.25"/>
    <row r="148" ht="12.15" customHeight="1" x14ac:dyDescent="0.25"/>
    <row r="149" ht="12.15" customHeight="1" x14ac:dyDescent="0.25"/>
    <row r="150" ht="12.15" customHeight="1" x14ac:dyDescent="0.25"/>
    <row r="151" ht="12.15" customHeight="1" x14ac:dyDescent="0.25"/>
    <row r="152" ht="12.15" customHeight="1" x14ac:dyDescent="0.25"/>
    <row r="153" ht="12.15" customHeight="1" x14ac:dyDescent="0.25"/>
    <row r="154" ht="12.15" customHeight="1" x14ac:dyDescent="0.25"/>
    <row r="155" ht="12.15" customHeight="1" x14ac:dyDescent="0.25"/>
    <row r="156" ht="12.15" customHeight="1" x14ac:dyDescent="0.25"/>
    <row r="157" ht="12.15" customHeight="1" x14ac:dyDescent="0.25"/>
    <row r="158" ht="12.15" customHeight="1" x14ac:dyDescent="0.25"/>
    <row r="159" ht="12.15" customHeight="1" x14ac:dyDescent="0.25"/>
    <row r="160" ht="12.15" customHeight="1" x14ac:dyDescent="0.25"/>
    <row r="161" ht="12.15" customHeight="1" x14ac:dyDescent="0.25"/>
    <row r="162" ht="12.15" customHeight="1" x14ac:dyDescent="0.25"/>
    <row r="163" ht="12.15" customHeight="1" x14ac:dyDescent="0.25"/>
    <row r="164" ht="12.15" customHeight="1" x14ac:dyDescent="0.25"/>
    <row r="165" ht="12.15" customHeight="1" x14ac:dyDescent="0.25"/>
    <row r="166" ht="12.15" customHeight="1" x14ac:dyDescent="0.25"/>
    <row r="167" ht="12.15" customHeight="1" x14ac:dyDescent="0.25"/>
    <row r="168" ht="12.15" customHeight="1" x14ac:dyDescent="0.25"/>
    <row r="169" ht="12.15" customHeight="1" x14ac:dyDescent="0.25"/>
    <row r="170" ht="12.15" customHeight="1" x14ac:dyDescent="0.25"/>
    <row r="171" ht="12.15" customHeight="1" x14ac:dyDescent="0.25"/>
    <row r="172" ht="12.15" customHeight="1" x14ac:dyDescent="0.25"/>
    <row r="173" ht="12.15" customHeight="1" x14ac:dyDescent="0.25"/>
    <row r="174" ht="12.15" customHeight="1" x14ac:dyDescent="0.25"/>
    <row r="175" ht="12.15" customHeight="1" x14ac:dyDescent="0.25"/>
    <row r="176" ht="12.15" customHeight="1" x14ac:dyDescent="0.25"/>
    <row r="177" ht="12.15" customHeight="1" x14ac:dyDescent="0.25"/>
    <row r="178" ht="12.15" customHeight="1" x14ac:dyDescent="0.25"/>
    <row r="179" ht="12.15" customHeight="1" x14ac:dyDescent="0.25"/>
    <row r="180" ht="12.15" customHeight="1" x14ac:dyDescent="0.25"/>
    <row r="181" ht="12.15" customHeight="1" x14ac:dyDescent="0.25"/>
    <row r="182" ht="12.15" customHeight="1" x14ac:dyDescent="0.25"/>
    <row r="183" ht="12.15" customHeight="1" x14ac:dyDescent="0.25"/>
    <row r="184" ht="12.15" customHeight="1" x14ac:dyDescent="0.25"/>
    <row r="185" ht="12.15" customHeight="1" x14ac:dyDescent="0.25"/>
    <row r="186" ht="12.15" customHeight="1" x14ac:dyDescent="0.25"/>
    <row r="187" ht="12.15" customHeight="1" x14ac:dyDescent="0.25"/>
    <row r="188" ht="12.15" customHeight="1" x14ac:dyDescent="0.25"/>
    <row r="189" ht="12.15" customHeight="1" x14ac:dyDescent="0.25"/>
    <row r="190" ht="12.15" customHeight="1" x14ac:dyDescent="0.25"/>
    <row r="191" ht="12.15" customHeight="1" x14ac:dyDescent="0.25"/>
    <row r="192" ht="12.15" customHeight="1" x14ac:dyDescent="0.25"/>
    <row r="193" ht="12.15" customHeight="1" x14ac:dyDescent="0.25"/>
    <row r="194" ht="12.15" customHeight="1" x14ac:dyDescent="0.25"/>
    <row r="195" ht="12.15" customHeight="1" x14ac:dyDescent="0.25"/>
    <row r="196" ht="12.15" customHeight="1" x14ac:dyDescent="0.25"/>
    <row r="197" ht="12.15" customHeight="1" x14ac:dyDescent="0.25"/>
    <row r="198" ht="12.15" customHeight="1" x14ac:dyDescent="0.25"/>
    <row r="199" ht="12.15" customHeight="1" x14ac:dyDescent="0.25"/>
    <row r="200" ht="12.15" customHeight="1" x14ac:dyDescent="0.25"/>
    <row r="201" ht="12.15" customHeight="1" x14ac:dyDescent="0.25"/>
    <row r="202" ht="12.15" customHeight="1" x14ac:dyDescent="0.25"/>
    <row r="203" ht="12.15" customHeight="1" x14ac:dyDescent="0.25"/>
    <row r="204" ht="12.15" customHeight="1" x14ac:dyDescent="0.25"/>
    <row r="205" ht="12.15" customHeight="1" x14ac:dyDescent="0.25"/>
    <row r="206" ht="12.15" customHeight="1" x14ac:dyDescent="0.25"/>
    <row r="207" ht="12.15" customHeight="1" x14ac:dyDescent="0.25"/>
    <row r="208" ht="12.15" customHeight="1" x14ac:dyDescent="0.25"/>
    <row r="209" ht="12.15" customHeight="1" x14ac:dyDescent="0.25"/>
    <row r="210" ht="12.15" customHeight="1" x14ac:dyDescent="0.25"/>
    <row r="211" ht="12.15" customHeight="1" x14ac:dyDescent="0.25"/>
    <row r="212" ht="12.15" customHeight="1" x14ac:dyDescent="0.25"/>
    <row r="213" ht="12.15" customHeight="1" x14ac:dyDescent="0.25"/>
    <row r="214" ht="12.15" customHeight="1" x14ac:dyDescent="0.25"/>
    <row r="215" ht="12.15" customHeight="1" x14ac:dyDescent="0.25"/>
    <row r="216" ht="12.15" customHeight="1" x14ac:dyDescent="0.25"/>
    <row r="217" ht="12.15" customHeight="1" x14ac:dyDescent="0.25"/>
    <row r="218" ht="12.15" customHeight="1" x14ac:dyDescent="0.25"/>
    <row r="219" ht="12.15" customHeight="1" x14ac:dyDescent="0.25"/>
    <row r="220" ht="12.15" customHeight="1" x14ac:dyDescent="0.25"/>
    <row r="221" ht="12.15" customHeight="1" x14ac:dyDescent="0.25"/>
    <row r="222" ht="12.15" customHeight="1" x14ac:dyDescent="0.25"/>
    <row r="223" ht="12.15" customHeight="1" x14ac:dyDescent="0.25"/>
    <row r="224" ht="12.15" customHeight="1" x14ac:dyDescent="0.25"/>
    <row r="225" ht="12.15" customHeight="1" x14ac:dyDescent="0.25"/>
    <row r="226" ht="12.15" customHeight="1" x14ac:dyDescent="0.25"/>
    <row r="227" ht="12.15" customHeight="1" x14ac:dyDescent="0.25"/>
    <row r="228" ht="12.15" customHeight="1" x14ac:dyDescent="0.25"/>
    <row r="229" ht="12.15" customHeight="1" x14ac:dyDescent="0.25"/>
    <row r="230" ht="12.15" customHeight="1" x14ac:dyDescent="0.25"/>
    <row r="231" ht="12.15" customHeight="1" x14ac:dyDescent="0.25"/>
    <row r="232" ht="12.15" customHeight="1" x14ac:dyDescent="0.25"/>
    <row r="233" ht="12.15" customHeight="1" x14ac:dyDescent="0.25"/>
    <row r="234" ht="12.15" customHeight="1" x14ac:dyDescent="0.25"/>
    <row r="235" ht="12.15" customHeight="1" x14ac:dyDescent="0.25"/>
    <row r="236" ht="12.15" customHeight="1" x14ac:dyDescent="0.25"/>
    <row r="237" ht="12.15" customHeight="1" x14ac:dyDescent="0.25"/>
    <row r="238" ht="12.15" customHeight="1" x14ac:dyDescent="0.25"/>
    <row r="239" ht="12.15" customHeight="1" x14ac:dyDescent="0.25"/>
    <row r="240" ht="12.15" customHeight="1" x14ac:dyDescent="0.25"/>
    <row r="241" ht="12.15" customHeight="1" x14ac:dyDescent="0.25"/>
    <row r="242" ht="12.15" customHeight="1" x14ac:dyDescent="0.25"/>
    <row r="243" ht="12.15" customHeight="1" x14ac:dyDescent="0.25"/>
  </sheetData>
  <sheetProtection algorithmName="SHA-512" hashValue="bqEYyUMfWhAB3kRK5JEadoHcvdjIphUMm25X+J6f5I5Onkc3sNXYJU1ScIvSUmo+x3LPuTupN0F4TXiC9B3Y7g==" saltValue="oW09Q2A5uvoBB9ZhWeK4sA==" spinCount="100000" sheet="1" objects="1" scenarios="1" selectLockedCells="1"/>
  <customSheetViews>
    <customSheetView guid="{BC429C65-53B8-4F97-88D2-74ECCD734800}" scale="90" showGridLines="0" showRowCol="0" state="hidden">
      <selection activeCell="B4" sqref="B4:L4"/>
      <rowBreaks count="1" manualBreakCount="1">
        <brk id="39" max="16383" man="1"/>
      </rowBreaks>
      <pageMargins left="0.25" right="0.25" top="1" bottom="0.25" header="0.5" footer="0.5"/>
      <printOptions horizontalCentered="1"/>
      <pageSetup orientation="portrait" horizontalDpi="4294967292" verticalDpi="4294967292" r:id="rId1"/>
      <headerFooter alignWithMargins="0"/>
    </customSheetView>
  </customSheetViews>
  <phoneticPr fontId="7" type="noConversion"/>
  <printOptions horizontalCentered="1"/>
  <pageMargins left="0.25" right="0.25" top="0.75" bottom="0.25" header="0.17" footer="0.5"/>
  <pageSetup orientation="portrait" r:id="rId2"/>
  <headerFooter alignWithMargins="0">
    <oddHeader>&amp;C&amp;18Units for Risk Assessments</oddHeader>
  </headerFooter>
  <rowBreaks count="1" manualBreakCount="1">
    <brk id="8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0">
    <tabColor theme="3" tint="0.79998168889431442"/>
  </sheetPr>
  <dimension ref="A1:M240"/>
  <sheetViews>
    <sheetView showGridLines="0" showRowColHeaders="0" showRuler="0" view="pageLayout" zoomScaleNormal="90" workbookViewId="0">
      <selection activeCell="E8" sqref="E8:I10"/>
    </sheetView>
  </sheetViews>
  <sheetFormatPr defaultColWidth="7.33203125" defaultRowHeight="13.2" x14ac:dyDescent="0.25"/>
  <cols>
    <col min="1" max="8" width="8.5546875" customWidth="1"/>
    <col min="9" max="9" width="6.44140625" customWidth="1"/>
    <col min="10" max="10" width="8.5546875" customWidth="1"/>
    <col min="11" max="11" width="8.5546875" style="594" customWidth="1"/>
    <col min="12" max="12" width="9.6640625" customWidth="1"/>
    <col min="13" max="13" width="8.5546875" customWidth="1"/>
    <col min="18" max="18" width="11.33203125" customWidth="1"/>
  </cols>
  <sheetData>
    <row r="1" spans="1:13" ht="18" customHeight="1" x14ac:dyDescent="0.25">
      <c r="A1" s="875" t="s">
        <v>284</v>
      </c>
      <c r="B1" s="876"/>
      <c r="C1" s="876"/>
      <c r="D1" s="876"/>
      <c r="E1" s="876"/>
      <c r="F1" s="876"/>
      <c r="G1" s="876"/>
      <c r="H1" s="876"/>
      <c r="I1" s="876"/>
      <c r="J1" s="876"/>
      <c r="K1" s="876"/>
      <c r="L1" s="877"/>
    </row>
    <row r="2" spans="1:13" ht="12.15" customHeight="1" thickBot="1" x14ac:dyDescent="0.45">
      <c r="A2" s="10"/>
      <c r="D2" s="16"/>
      <c r="L2" s="17"/>
      <c r="M2" s="592"/>
    </row>
    <row r="3" spans="1:13" ht="12.15" customHeight="1" thickBot="1" x14ac:dyDescent="0.3">
      <c r="A3" s="12" t="s">
        <v>453</v>
      </c>
      <c r="B3" s="2"/>
      <c r="C3" s="48" t="s">
        <v>50</v>
      </c>
      <c r="J3" s="8">
        <f>'Maximum Rates'!D5</f>
        <v>122</v>
      </c>
      <c r="K3" s="598">
        <v>12</v>
      </c>
      <c r="L3" s="11">
        <f>(J3*K3)</f>
        <v>1464</v>
      </c>
    </row>
    <row r="4" spans="1:13" ht="12.15" customHeight="1" x14ac:dyDescent="0.25">
      <c r="A4" s="10"/>
      <c r="C4" t="s">
        <v>22</v>
      </c>
      <c r="J4" s="8"/>
      <c r="L4" s="11"/>
    </row>
    <row r="5" spans="1:13" ht="12.15" customHeight="1" thickBot="1" x14ac:dyDescent="0.3">
      <c r="A5" s="10"/>
      <c r="C5" t="s">
        <v>295</v>
      </c>
      <c r="J5" s="8"/>
      <c r="L5" s="11"/>
    </row>
    <row r="6" spans="1:13" ht="12.15" customHeight="1" thickBot="1" x14ac:dyDescent="0.3">
      <c r="A6" s="12" t="s">
        <v>454</v>
      </c>
      <c r="B6" s="2"/>
      <c r="C6" t="s">
        <v>604</v>
      </c>
      <c r="J6" s="8">
        <f>'Maximum Rates'!D6</f>
        <v>140</v>
      </c>
      <c r="K6" s="598">
        <v>9</v>
      </c>
      <c r="L6" s="11">
        <f>(J6*K6)</f>
        <v>1260</v>
      </c>
    </row>
    <row r="7" spans="1:13" ht="12.15" customHeight="1" x14ac:dyDescent="0.25">
      <c r="A7" s="10"/>
      <c r="C7" t="s">
        <v>603</v>
      </c>
      <c r="J7" s="8"/>
      <c r="L7" s="11"/>
    </row>
    <row r="8" spans="1:13" ht="12.15" customHeight="1" thickBot="1" x14ac:dyDescent="0.3">
      <c r="A8" s="10"/>
      <c r="C8" t="s">
        <v>22</v>
      </c>
      <c r="J8" s="8"/>
      <c r="L8" s="11"/>
    </row>
    <row r="9" spans="1:13" ht="12.15" customHeight="1" thickBot="1" x14ac:dyDescent="0.3">
      <c r="A9" s="12" t="s">
        <v>455</v>
      </c>
      <c r="B9" s="2"/>
      <c r="C9" t="s">
        <v>552</v>
      </c>
      <c r="J9" s="8">
        <f>'Maximum Rates'!D7</f>
        <v>102</v>
      </c>
      <c r="K9" s="598">
        <v>8</v>
      </c>
      <c r="L9" s="11">
        <f>(J9*K9)</f>
        <v>816</v>
      </c>
    </row>
    <row r="10" spans="1:13" ht="12.15" customHeight="1" x14ac:dyDescent="0.25">
      <c r="A10" s="12" t="s">
        <v>218</v>
      </c>
      <c r="B10" s="2"/>
      <c r="C10" t="s">
        <v>22</v>
      </c>
      <c r="J10" s="8"/>
      <c r="L10" s="11"/>
    </row>
    <row r="11" spans="1:13" ht="12.15" customHeight="1" thickBot="1" x14ac:dyDescent="0.3">
      <c r="A11" s="10"/>
      <c r="C11" t="s">
        <v>295</v>
      </c>
      <c r="J11" s="8"/>
      <c r="L11" s="11"/>
    </row>
    <row r="12" spans="1:13" ht="12.15" customHeight="1" thickBot="1" x14ac:dyDescent="0.3">
      <c r="A12" s="12" t="s">
        <v>456</v>
      </c>
      <c r="B12" s="2"/>
      <c r="C12" t="s">
        <v>296</v>
      </c>
      <c r="J12" s="8">
        <f>'Maximum Rates'!D10</f>
        <v>74</v>
      </c>
      <c r="K12" s="598">
        <v>2</v>
      </c>
      <c r="L12" s="11">
        <f>(J12*K12)</f>
        <v>148</v>
      </c>
    </row>
    <row r="13" spans="1:13" ht="12.15" customHeight="1" x14ac:dyDescent="0.25">
      <c r="A13" s="10"/>
      <c r="J13" s="8"/>
      <c r="L13" s="11"/>
    </row>
    <row r="14" spans="1:13" ht="12.15" customHeight="1" thickBot="1" x14ac:dyDescent="0.3">
      <c r="A14" s="10"/>
      <c r="J14" s="8"/>
      <c r="L14" s="11"/>
    </row>
    <row r="15" spans="1:13" ht="12.15" customHeight="1" thickBot="1" x14ac:dyDescent="0.3">
      <c r="A15" s="12" t="s">
        <v>457</v>
      </c>
      <c r="B15" s="2"/>
      <c r="C15" t="s">
        <v>551</v>
      </c>
      <c r="J15" s="8">
        <f>'Maximum Rates'!D11</f>
        <v>60</v>
      </c>
      <c r="K15" s="598">
        <v>5</v>
      </c>
      <c r="L15" s="11">
        <f>(J15*K15)</f>
        <v>300</v>
      </c>
    </row>
    <row r="16" spans="1:13" ht="12.15" customHeight="1" thickBot="1" x14ac:dyDescent="0.3">
      <c r="A16" s="10"/>
      <c r="L16" s="11"/>
    </row>
    <row r="17" spans="1:12" ht="12.15" customHeight="1" thickBot="1" x14ac:dyDescent="0.3">
      <c r="A17" s="13"/>
      <c r="B17" s="14"/>
      <c r="C17" s="14"/>
      <c r="D17" s="14"/>
      <c r="E17" s="14"/>
      <c r="F17" s="14"/>
      <c r="G17" s="941" t="s">
        <v>325</v>
      </c>
      <c r="H17" s="606"/>
      <c r="I17" s="606"/>
      <c r="J17" s="606"/>
      <c r="K17" s="607"/>
      <c r="L17" s="6">
        <f>SUM(L3:L16)</f>
        <v>3988</v>
      </c>
    </row>
    <row r="18" spans="1:12" ht="12.15" customHeight="1" thickBot="1" x14ac:dyDescent="0.3"/>
    <row r="19" spans="1:12" ht="18" customHeight="1" x14ac:dyDescent="0.3">
      <c r="A19" s="856" t="s">
        <v>285</v>
      </c>
      <c r="B19" s="857"/>
      <c r="C19" s="857"/>
      <c r="D19" s="857"/>
      <c r="E19" s="857"/>
      <c r="F19" s="857"/>
      <c r="G19" s="857"/>
      <c r="H19" s="857"/>
      <c r="I19" s="857"/>
      <c r="J19" s="857"/>
      <c r="K19" s="857"/>
      <c r="L19" s="858"/>
    </row>
    <row r="20" spans="1:12" ht="12.15" customHeight="1" thickBot="1" x14ac:dyDescent="0.35">
      <c r="A20" s="10"/>
      <c r="D20" s="16"/>
      <c r="L20" s="17"/>
    </row>
    <row r="21" spans="1:12" ht="12.15" customHeight="1" thickBot="1" x14ac:dyDescent="0.3">
      <c r="A21" s="12" t="s">
        <v>453</v>
      </c>
      <c r="B21" s="2"/>
      <c r="C21" t="s">
        <v>1</v>
      </c>
      <c r="J21" s="8">
        <f>'Maximum Rates'!D5</f>
        <v>122</v>
      </c>
      <c r="K21" s="598">
        <v>3</v>
      </c>
      <c r="L21" s="11">
        <f>(J21*K21)</f>
        <v>366</v>
      </c>
    </row>
    <row r="22" spans="1:12" ht="12.15" customHeight="1" x14ac:dyDescent="0.25">
      <c r="A22" s="10"/>
      <c r="C22" t="s">
        <v>534</v>
      </c>
      <c r="J22" s="8"/>
      <c r="L22" s="11"/>
    </row>
    <row r="23" spans="1:12" ht="12.15" customHeight="1" thickBot="1" x14ac:dyDescent="0.3">
      <c r="A23" s="10"/>
      <c r="C23" t="s">
        <v>22</v>
      </c>
      <c r="J23" s="8"/>
      <c r="L23" s="11"/>
    </row>
    <row r="24" spans="1:12" ht="12.15" customHeight="1" thickBot="1" x14ac:dyDescent="0.3">
      <c r="A24" s="12" t="s">
        <v>454</v>
      </c>
      <c r="B24" s="2"/>
      <c r="C24" t="s">
        <v>502</v>
      </c>
      <c r="J24" s="8">
        <f>'Maximum Rates'!D6</f>
        <v>140</v>
      </c>
      <c r="K24" s="598">
        <v>2</v>
      </c>
      <c r="L24" s="11">
        <f>(J24*K24)</f>
        <v>280</v>
      </c>
    </row>
    <row r="25" spans="1:12" ht="12.15" customHeight="1" x14ac:dyDescent="0.25">
      <c r="A25" s="10"/>
      <c r="C25" t="s">
        <v>22</v>
      </c>
      <c r="J25" s="8"/>
      <c r="L25" s="11"/>
    </row>
    <row r="26" spans="1:12" ht="12.15" customHeight="1" thickBot="1" x14ac:dyDescent="0.3">
      <c r="A26" s="10"/>
      <c r="J26" s="8"/>
      <c r="L26" s="11"/>
    </row>
    <row r="27" spans="1:12" ht="12.15" customHeight="1" thickBot="1" x14ac:dyDescent="0.3">
      <c r="A27" s="12" t="s">
        <v>455</v>
      </c>
      <c r="B27" s="2"/>
      <c r="C27" t="s">
        <v>297</v>
      </c>
      <c r="J27" s="8">
        <f>'Maximum Rates'!D7</f>
        <v>102</v>
      </c>
      <c r="K27" s="598">
        <v>8</v>
      </c>
      <c r="L27" s="11">
        <f>(J27*K27)</f>
        <v>816</v>
      </c>
    </row>
    <row r="28" spans="1:12" ht="12.15" customHeight="1" x14ac:dyDescent="0.25">
      <c r="A28" s="12" t="s">
        <v>218</v>
      </c>
      <c r="B28" s="2"/>
      <c r="C28" t="s">
        <v>22</v>
      </c>
      <c r="J28" s="8"/>
      <c r="L28" s="11"/>
    </row>
    <row r="29" spans="1:12" ht="12.15" customHeight="1" thickBot="1" x14ac:dyDescent="0.3">
      <c r="A29" s="10"/>
      <c r="J29" s="8"/>
      <c r="L29" s="11"/>
    </row>
    <row r="30" spans="1:12" ht="12.15" customHeight="1" thickBot="1" x14ac:dyDescent="0.3">
      <c r="A30" s="12" t="s">
        <v>456</v>
      </c>
      <c r="B30" s="2"/>
      <c r="C30" t="s">
        <v>536</v>
      </c>
      <c r="J30" s="8">
        <f>'Maximum Rates'!D10</f>
        <v>74</v>
      </c>
      <c r="K30" s="598">
        <v>2</v>
      </c>
      <c r="L30" s="11">
        <f>(J30*K30)</f>
        <v>148</v>
      </c>
    </row>
    <row r="31" spans="1:12" ht="12.15" customHeight="1" x14ac:dyDescent="0.25">
      <c r="A31" s="10"/>
      <c r="C31" t="s">
        <v>397</v>
      </c>
      <c r="J31" s="8"/>
      <c r="L31" s="11"/>
    </row>
    <row r="32" spans="1:12" ht="12.15" customHeight="1" thickBot="1" x14ac:dyDescent="0.3">
      <c r="A32" s="10"/>
      <c r="C32" t="s">
        <v>22</v>
      </c>
      <c r="J32" s="8"/>
      <c r="L32" s="11"/>
    </row>
    <row r="33" spans="1:12" ht="12.15" customHeight="1" thickBot="1" x14ac:dyDescent="0.3">
      <c r="A33" s="12" t="s">
        <v>457</v>
      </c>
      <c r="B33" s="2"/>
      <c r="C33" s="48" t="s">
        <v>52</v>
      </c>
      <c r="J33" s="8">
        <f>'Maximum Rates'!D11</f>
        <v>60</v>
      </c>
      <c r="K33" s="598">
        <v>4</v>
      </c>
      <c r="L33" s="11">
        <f>(J33*K33)</f>
        <v>240</v>
      </c>
    </row>
    <row r="34" spans="1:12" ht="12.15" customHeight="1" thickBot="1" x14ac:dyDescent="0.3">
      <c r="A34" s="10"/>
      <c r="C34" t="s">
        <v>22</v>
      </c>
      <c r="L34" s="11"/>
    </row>
    <row r="35" spans="1:12" ht="12.15" customHeight="1" thickBot="1" x14ac:dyDescent="0.3">
      <c r="A35" s="13"/>
      <c r="B35" s="14"/>
      <c r="C35" s="14"/>
      <c r="D35" s="14"/>
      <c r="E35" s="14"/>
      <c r="F35" s="14"/>
      <c r="G35" s="914" t="s">
        <v>422</v>
      </c>
      <c r="H35" s="564"/>
      <c r="I35" s="564"/>
      <c r="J35" s="564"/>
      <c r="K35" s="596"/>
      <c r="L35" s="6">
        <f>SUM(L21:L34)</f>
        <v>1850</v>
      </c>
    </row>
    <row r="36" spans="1:12" ht="12.15" customHeight="1" thickBot="1" x14ac:dyDescent="0.3"/>
    <row r="37" spans="1:12" ht="18" customHeight="1" x14ac:dyDescent="0.3">
      <c r="A37" s="856" t="s">
        <v>286</v>
      </c>
      <c r="B37" s="857"/>
      <c r="C37" s="857"/>
      <c r="D37" s="857"/>
      <c r="E37" s="857"/>
      <c r="F37" s="857"/>
      <c r="G37" s="857"/>
      <c r="H37" s="857"/>
      <c r="I37" s="857"/>
      <c r="J37" s="857"/>
      <c r="K37" s="857"/>
      <c r="L37" s="858"/>
    </row>
    <row r="38" spans="1:12" ht="12.15" customHeight="1" thickBot="1" x14ac:dyDescent="0.35">
      <c r="A38" s="10"/>
      <c r="D38" s="16"/>
      <c r="L38" s="17"/>
    </row>
    <row r="39" spans="1:12" ht="12.15" customHeight="1" thickBot="1" x14ac:dyDescent="0.3">
      <c r="A39" s="12" t="s">
        <v>453</v>
      </c>
      <c r="B39" s="2"/>
      <c r="C39" t="s">
        <v>1</v>
      </c>
      <c r="J39" s="8">
        <f>'Maximum Rates'!D5</f>
        <v>122</v>
      </c>
      <c r="K39" s="598">
        <v>4</v>
      </c>
      <c r="L39" s="11">
        <f>(J39*K39)</f>
        <v>488</v>
      </c>
    </row>
    <row r="40" spans="1:12" ht="12.15" customHeight="1" x14ac:dyDescent="0.25">
      <c r="A40" s="10"/>
      <c r="C40" t="s">
        <v>534</v>
      </c>
      <c r="J40" s="8"/>
      <c r="L40" s="11"/>
    </row>
    <row r="41" spans="1:12" ht="12.15" customHeight="1" thickBot="1" x14ac:dyDescent="0.3">
      <c r="A41" s="10"/>
      <c r="C41" t="s">
        <v>22</v>
      </c>
      <c r="J41" s="8"/>
      <c r="L41" s="11"/>
    </row>
    <row r="42" spans="1:12" ht="12.15" customHeight="1" thickBot="1" x14ac:dyDescent="0.3">
      <c r="A42" s="12" t="s">
        <v>454</v>
      </c>
      <c r="B42" s="2"/>
      <c r="C42" t="s">
        <v>502</v>
      </c>
      <c r="J42" s="8">
        <f>'Maximum Rates'!D6</f>
        <v>140</v>
      </c>
      <c r="K42" s="598">
        <v>2</v>
      </c>
      <c r="L42" s="11">
        <f>(J42*K42)</f>
        <v>280</v>
      </c>
    </row>
    <row r="43" spans="1:12" ht="12.15" customHeight="1" x14ac:dyDescent="0.25">
      <c r="A43" s="10"/>
      <c r="C43" t="s">
        <v>22</v>
      </c>
      <c r="J43" s="8"/>
      <c r="L43" s="11"/>
    </row>
    <row r="44" spans="1:12" ht="12.15" customHeight="1" thickBot="1" x14ac:dyDescent="0.3">
      <c r="A44" s="10"/>
      <c r="J44" s="8"/>
      <c r="L44" s="11"/>
    </row>
    <row r="45" spans="1:12" ht="12.15" customHeight="1" thickBot="1" x14ac:dyDescent="0.3">
      <c r="A45" s="12" t="s">
        <v>455</v>
      </c>
      <c r="B45" s="2"/>
      <c r="C45" t="s">
        <v>598</v>
      </c>
      <c r="J45" s="8">
        <f>'Maximum Rates'!D7</f>
        <v>102</v>
      </c>
      <c r="K45" s="598">
        <v>8</v>
      </c>
      <c r="L45" s="11">
        <f>(J45*K45)</f>
        <v>816</v>
      </c>
    </row>
    <row r="46" spans="1:12" ht="12.15" customHeight="1" x14ac:dyDescent="0.25">
      <c r="A46" s="12" t="s">
        <v>218</v>
      </c>
      <c r="B46" s="2"/>
      <c r="C46" t="s">
        <v>22</v>
      </c>
      <c r="J46" s="8"/>
      <c r="L46" s="11"/>
    </row>
    <row r="47" spans="1:12" ht="12.15" customHeight="1" thickBot="1" x14ac:dyDescent="0.3">
      <c r="A47" s="10"/>
      <c r="J47" s="8"/>
      <c r="L47" s="11"/>
    </row>
    <row r="48" spans="1:12" ht="12.15" customHeight="1" thickBot="1" x14ac:dyDescent="0.3">
      <c r="A48" s="12" t="s">
        <v>456</v>
      </c>
      <c r="B48" s="2"/>
      <c r="C48" t="s">
        <v>536</v>
      </c>
      <c r="J48" s="8">
        <f>'Maximum Rates'!D10</f>
        <v>74</v>
      </c>
      <c r="K48" s="598">
        <v>2</v>
      </c>
      <c r="L48" s="11">
        <f>(J48*K48)</f>
        <v>148</v>
      </c>
    </row>
    <row r="49" spans="1:12" ht="12.15" customHeight="1" x14ac:dyDescent="0.25">
      <c r="A49" s="10"/>
      <c r="C49" t="s">
        <v>397</v>
      </c>
      <c r="J49" s="8"/>
      <c r="L49" s="11"/>
    </row>
    <row r="50" spans="1:12" ht="12.15" customHeight="1" thickBot="1" x14ac:dyDescent="0.3">
      <c r="A50" s="10"/>
      <c r="C50" t="s">
        <v>22</v>
      </c>
      <c r="J50" s="8"/>
      <c r="L50" s="11"/>
    </row>
    <row r="51" spans="1:12" ht="12.15" customHeight="1" thickBot="1" x14ac:dyDescent="0.3">
      <c r="A51" s="12" t="s">
        <v>457</v>
      </c>
      <c r="B51" s="2"/>
      <c r="C51" s="48" t="s">
        <v>53</v>
      </c>
      <c r="J51" s="8">
        <f>'Maximum Rates'!D11</f>
        <v>60</v>
      </c>
      <c r="K51" s="598">
        <v>4</v>
      </c>
      <c r="L51" s="11">
        <f>(J51*K51)</f>
        <v>240</v>
      </c>
    </row>
    <row r="52" spans="1:12" ht="12.15" customHeight="1" thickBot="1" x14ac:dyDescent="0.3">
      <c r="A52" s="10"/>
      <c r="C52" t="s">
        <v>22</v>
      </c>
      <c r="L52" s="11"/>
    </row>
    <row r="53" spans="1:12" ht="12.15" customHeight="1" thickBot="1" x14ac:dyDescent="0.3">
      <c r="A53" s="13"/>
      <c r="B53" s="14"/>
      <c r="C53" s="14"/>
      <c r="D53" s="14"/>
      <c r="E53" s="14"/>
      <c r="F53" s="14"/>
      <c r="G53" s="914" t="s">
        <v>423</v>
      </c>
      <c r="H53" s="564"/>
      <c r="I53" s="564"/>
      <c r="J53" s="564"/>
      <c r="K53" s="596"/>
      <c r="L53" s="6">
        <f>SUM(L39:L52)</f>
        <v>1972</v>
      </c>
    </row>
    <row r="54" spans="1:12" ht="12.15" customHeight="1" x14ac:dyDescent="0.25">
      <c r="K54"/>
    </row>
    <row r="55" spans="1:12" ht="12.15" customHeight="1" x14ac:dyDescent="0.25">
      <c r="K55"/>
    </row>
    <row r="56" spans="1:12" ht="12.15" customHeight="1" x14ac:dyDescent="0.25">
      <c r="K56"/>
    </row>
    <row r="57" spans="1:12" ht="12.15" customHeight="1" x14ac:dyDescent="0.25">
      <c r="K57"/>
    </row>
    <row r="58" spans="1:12" ht="12.15" customHeight="1" x14ac:dyDescent="0.25">
      <c r="K58"/>
    </row>
    <row r="59" spans="1:12" ht="12.15" customHeight="1" x14ac:dyDescent="0.25">
      <c r="K59"/>
    </row>
    <row r="60" spans="1:12" ht="12.15" customHeight="1" x14ac:dyDescent="0.25">
      <c r="K60"/>
    </row>
    <row r="61" spans="1:12" ht="12.15" customHeight="1" thickBot="1" x14ac:dyDescent="0.3">
      <c r="K61"/>
    </row>
    <row r="62" spans="1:12" ht="18" customHeight="1" x14ac:dyDescent="0.25">
      <c r="A62" s="875" t="s">
        <v>299</v>
      </c>
      <c r="B62" s="876"/>
      <c r="C62" s="876"/>
      <c r="D62" s="876"/>
      <c r="E62" s="876"/>
      <c r="F62" s="876"/>
      <c r="G62" s="876"/>
      <c r="H62" s="876"/>
      <c r="I62" s="876"/>
      <c r="J62" s="876"/>
      <c r="K62" s="876"/>
      <c r="L62" s="877"/>
    </row>
    <row r="63" spans="1:12" ht="12.15" customHeight="1" thickBot="1" x14ac:dyDescent="0.35">
      <c r="A63" s="10"/>
      <c r="D63" s="16"/>
      <c r="L63" s="17"/>
    </row>
    <row r="64" spans="1:12" ht="12.15" customHeight="1" thickBot="1" x14ac:dyDescent="0.3">
      <c r="A64" s="12" t="s">
        <v>453</v>
      </c>
      <c r="B64" s="2"/>
      <c r="C64" t="s">
        <v>298</v>
      </c>
      <c r="J64" s="8">
        <f>'Maximum Rates'!D5</f>
        <v>122</v>
      </c>
      <c r="K64" s="598">
        <v>7</v>
      </c>
      <c r="L64" s="11">
        <f>(J64*K64)</f>
        <v>854</v>
      </c>
    </row>
    <row r="65" spans="1:12" ht="12.15" customHeight="1" x14ac:dyDescent="0.25">
      <c r="A65" s="10"/>
      <c r="C65" t="s">
        <v>534</v>
      </c>
      <c r="J65" s="8"/>
      <c r="L65" s="11"/>
    </row>
    <row r="66" spans="1:12" ht="12.15" customHeight="1" thickBot="1" x14ac:dyDescent="0.3">
      <c r="A66" s="10"/>
      <c r="C66" t="s">
        <v>22</v>
      </c>
      <c r="J66" s="8"/>
      <c r="L66" s="11"/>
    </row>
    <row r="67" spans="1:12" ht="12.15" customHeight="1" thickBot="1" x14ac:dyDescent="0.3">
      <c r="A67" s="12" t="s">
        <v>454</v>
      </c>
      <c r="B67" s="2"/>
      <c r="C67" t="s">
        <v>502</v>
      </c>
      <c r="J67" s="8">
        <f>'Maximum Rates'!D6</f>
        <v>140</v>
      </c>
      <c r="K67" s="598">
        <v>2</v>
      </c>
      <c r="L67" s="11">
        <f>(J67*K67)</f>
        <v>280</v>
      </c>
    </row>
    <row r="68" spans="1:12" ht="12.15" customHeight="1" x14ac:dyDescent="0.25">
      <c r="A68" s="10"/>
      <c r="C68" t="s">
        <v>22</v>
      </c>
      <c r="J68" s="8"/>
      <c r="L68" s="11"/>
    </row>
    <row r="69" spans="1:12" ht="12.15" customHeight="1" thickBot="1" x14ac:dyDescent="0.3">
      <c r="A69" s="10"/>
      <c r="J69" s="8"/>
      <c r="L69" s="11"/>
    </row>
    <row r="70" spans="1:12" ht="12.15" customHeight="1" thickBot="1" x14ac:dyDescent="0.3">
      <c r="A70" s="12" t="s">
        <v>455</v>
      </c>
      <c r="B70" s="2"/>
      <c r="C70" t="s">
        <v>605</v>
      </c>
      <c r="J70" s="8">
        <f>'Maximum Rates'!D7</f>
        <v>102</v>
      </c>
      <c r="K70" s="598">
        <v>4</v>
      </c>
      <c r="L70" s="11">
        <f>(J70*K70)</f>
        <v>408</v>
      </c>
    </row>
    <row r="71" spans="1:12" ht="12.15" customHeight="1" x14ac:dyDescent="0.25">
      <c r="A71" s="12" t="s">
        <v>218</v>
      </c>
      <c r="B71" s="2"/>
      <c r="C71" t="s">
        <v>22</v>
      </c>
      <c r="J71" s="8"/>
      <c r="L71" s="11"/>
    </row>
    <row r="72" spans="1:12" ht="12.15" customHeight="1" thickBot="1" x14ac:dyDescent="0.3">
      <c r="A72" s="10"/>
      <c r="J72" s="8"/>
      <c r="L72" s="11"/>
    </row>
    <row r="73" spans="1:12" ht="12.15" customHeight="1" thickBot="1" x14ac:dyDescent="0.3">
      <c r="A73" s="12" t="s">
        <v>456</v>
      </c>
      <c r="B73" s="2"/>
      <c r="C73" t="s">
        <v>536</v>
      </c>
      <c r="J73" s="8">
        <f>'Maximum Rates'!D10</f>
        <v>74</v>
      </c>
      <c r="K73" s="598">
        <v>2</v>
      </c>
      <c r="L73" s="11">
        <f>(J73*K73)</f>
        <v>148</v>
      </c>
    </row>
    <row r="74" spans="1:12" ht="12.15" customHeight="1" x14ac:dyDescent="0.25">
      <c r="A74" s="10"/>
      <c r="C74" t="s">
        <v>397</v>
      </c>
      <c r="J74" s="8"/>
      <c r="L74" s="11"/>
    </row>
    <row r="75" spans="1:12" ht="12.15" customHeight="1" thickBot="1" x14ac:dyDescent="0.3">
      <c r="A75" s="10"/>
      <c r="C75" t="s">
        <v>22</v>
      </c>
      <c r="J75" s="8"/>
      <c r="L75" s="11"/>
    </row>
    <row r="76" spans="1:12" ht="12.15" customHeight="1" thickBot="1" x14ac:dyDescent="0.3">
      <c r="A76" s="12" t="s">
        <v>457</v>
      </c>
      <c r="B76" s="2"/>
      <c r="C76" s="48" t="s">
        <v>52</v>
      </c>
      <c r="J76" s="8">
        <f>'Maximum Rates'!D11</f>
        <v>60</v>
      </c>
      <c r="K76" s="598">
        <v>4</v>
      </c>
      <c r="L76" s="11">
        <f>(J76*K76)</f>
        <v>240</v>
      </c>
    </row>
    <row r="77" spans="1:12" ht="12.15" customHeight="1" thickBot="1" x14ac:dyDescent="0.3">
      <c r="A77" s="10"/>
      <c r="C77" t="s">
        <v>22</v>
      </c>
      <c r="L77" s="11"/>
    </row>
    <row r="78" spans="1:12" ht="12.15" customHeight="1" thickBot="1" x14ac:dyDescent="0.3">
      <c r="A78" s="13"/>
      <c r="B78" s="14"/>
      <c r="C78" s="14"/>
      <c r="D78" s="14"/>
      <c r="E78" s="14"/>
      <c r="F78" s="14"/>
      <c r="G78" s="914" t="s">
        <v>424</v>
      </c>
      <c r="H78" s="564"/>
      <c r="I78" s="564"/>
      <c r="J78" s="564"/>
      <c r="K78" s="596"/>
      <c r="L78" s="6">
        <f>SUM(L64:L77)</f>
        <v>1930</v>
      </c>
    </row>
    <row r="79" spans="1:12" ht="12.15" customHeight="1" thickBot="1" x14ac:dyDescent="0.3"/>
    <row r="80" spans="1:12" ht="18" customHeight="1" x14ac:dyDescent="0.3">
      <c r="A80" s="856" t="s">
        <v>300</v>
      </c>
      <c r="B80" s="857"/>
      <c r="C80" s="857"/>
      <c r="D80" s="857"/>
      <c r="E80" s="857"/>
      <c r="F80" s="876"/>
      <c r="G80" s="857"/>
      <c r="H80" s="857"/>
      <c r="I80" s="857"/>
      <c r="J80" s="857"/>
      <c r="K80" s="857"/>
      <c r="L80" s="858"/>
    </row>
    <row r="81" spans="1:12" ht="12.15" customHeight="1" thickBot="1" x14ac:dyDescent="0.35">
      <c r="A81" s="10"/>
      <c r="D81" s="16"/>
      <c r="L81" s="17"/>
    </row>
    <row r="82" spans="1:12" ht="12.15" customHeight="1" thickBot="1" x14ac:dyDescent="0.3">
      <c r="A82" s="12" t="s">
        <v>453</v>
      </c>
      <c r="B82" s="2"/>
      <c r="C82" t="s">
        <v>301</v>
      </c>
      <c r="J82" s="8">
        <f>'Maximum Rates'!D5</f>
        <v>122</v>
      </c>
      <c r="K82" s="598">
        <v>16</v>
      </c>
      <c r="L82" s="11">
        <f>(J82*K82)</f>
        <v>1952</v>
      </c>
    </row>
    <row r="83" spans="1:12" ht="12.15" customHeight="1" x14ac:dyDescent="0.25">
      <c r="A83" s="10"/>
      <c r="C83" t="s">
        <v>559</v>
      </c>
      <c r="J83" s="8"/>
      <c r="L83" s="11"/>
    </row>
    <row r="84" spans="1:12" ht="12.15" customHeight="1" thickBot="1" x14ac:dyDescent="0.3">
      <c r="A84" s="10"/>
      <c r="C84" t="s">
        <v>22</v>
      </c>
      <c r="J84" s="8"/>
      <c r="L84" s="11"/>
    </row>
    <row r="85" spans="1:12" ht="12.15" customHeight="1" thickBot="1" x14ac:dyDescent="0.3">
      <c r="A85" s="12" t="s">
        <v>454</v>
      </c>
      <c r="B85" s="2"/>
      <c r="C85" t="s">
        <v>558</v>
      </c>
      <c r="J85" s="8">
        <f>'Maximum Rates'!D6</f>
        <v>140</v>
      </c>
      <c r="K85" s="598">
        <v>16</v>
      </c>
      <c r="L85" s="11">
        <f>(J85*K85)</f>
        <v>2240</v>
      </c>
    </row>
    <row r="86" spans="1:12" ht="12.15" customHeight="1" x14ac:dyDescent="0.25">
      <c r="A86" s="10"/>
      <c r="C86" t="s">
        <v>22</v>
      </c>
      <c r="J86" s="8"/>
      <c r="L86" s="11"/>
    </row>
    <row r="87" spans="1:12" ht="12.15" customHeight="1" thickBot="1" x14ac:dyDescent="0.3">
      <c r="A87" s="10"/>
      <c r="J87" s="8"/>
      <c r="L87" s="11"/>
    </row>
    <row r="88" spans="1:12" ht="12.15" customHeight="1" thickBot="1" x14ac:dyDescent="0.3">
      <c r="A88" s="12" t="s">
        <v>455</v>
      </c>
      <c r="B88" s="2"/>
      <c r="C88" t="s">
        <v>598</v>
      </c>
      <c r="J88" s="8">
        <f>'Maximum Rates'!D7</f>
        <v>102</v>
      </c>
      <c r="K88" s="598">
        <v>7</v>
      </c>
      <c r="L88" s="11">
        <f>(J88*K88)</f>
        <v>714</v>
      </c>
    </row>
    <row r="89" spans="1:12" ht="12.15" customHeight="1" x14ac:dyDescent="0.25">
      <c r="A89" s="12" t="s">
        <v>218</v>
      </c>
      <c r="B89" s="2"/>
      <c r="C89" t="s">
        <v>22</v>
      </c>
      <c r="J89" s="8"/>
      <c r="L89" s="11"/>
    </row>
    <row r="90" spans="1:12" ht="12.15" customHeight="1" thickBot="1" x14ac:dyDescent="0.3">
      <c r="A90" s="10"/>
      <c r="J90" s="8"/>
      <c r="L90" s="11"/>
    </row>
    <row r="91" spans="1:12" ht="12.15" customHeight="1" thickBot="1" x14ac:dyDescent="0.3">
      <c r="A91" s="12" t="s">
        <v>456</v>
      </c>
      <c r="B91" s="2"/>
      <c r="C91" t="s">
        <v>536</v>
      </c>
      <c r="J91" s="8">
        <f>'Maximum Rates'!D10</f>
        <v>74</v>
      </c>
      <c r="K91" s="598">
        <v>4</v>
      </c>
      <c r="L91" s="11">
        <f>(J91*K91)</f>
        <v>296</v>
      </c>
    </row>
    <row r="92" spans="1:12" ht="12.15" customHeight="1" x14ac:dyDescent="0.25">
      <c r="A92" s="10"/>
      <c r="C92" t="s">
        <v>397</v>
      </c>
      <c r="J92" s="8"/>
      <c r="L92" s="11"/>
    </row>
    <row r="93" spans="1:12" ht="12.15" customHeight="1" thickBot="1" x14ac:dyDescent="0.3">
      <c r="A93" s="10"/>
      <c r="C93" t="s">
        <v>22</v>
      </c>
      <c r="J93" s="8"/>
      <c r="L93" s="11"/>
    </row>
    <row r="94" spans="1:12" ht="12.15" customHeight="1" thickBot="1" x14ac:dyDescent="0.3">
      <c r="A94" s="12" t="s">
        <v>457</v>
      </c>
      <c r="B94" s="2"/>
      <c r="C94" s="48" t="s">
        <v>53</v>
      </c>
      <c r="J94" s="8">
        <f>'Maximum Rates'!D11</f>
        <v>60</v>
      </c>
      <c r="K94" s="598">
        <v>4</v>
      </c>
      <c r="L94" s="11">
        <f>(J94*K94)</f>
        <v>240</v>
      </c>
    </row>
    <row r="95" spans="1:12" ht="12.15" customHeight="1" thickBot="1" x14ac:dyDescent="0.3">
      <c r="A95" s="10"/>
      <c r="C95" t="s">
        <v>22</v>
      </c>
      <c r="L95" s="11"/>
    </row>
    <row r="96" spans="1:12" ht="12.15" customHeight="1" thickBot="1" x14ac:dyDescent="0.3">
      <c r="A96" s="13"/>
      <c r="B96" s="14"/>
      <c r="C96" s="14"/>
      <c r="D96" s="14"/>
      <c r="E96" s="14"/>
      <c r="F96" s="14"/>
      <c r="G96" s="563" t="s">
        <v>425</v>
      </c>
      <c r="H96" s="564"/>
      <c r="I96" s="564"/>
      <c r="J96" s="564"/>
      <c r="K96" s="596"/>
      <c r="L96" s="6">
        <f>SUM(L82:L95)</f>
        <v>5442</v>
      </c>
    </row>
    <row r="97" spans="1:12" ht="12.15" customHeight="1" thickBot="1" x14ac:dyDescent="0.3"/>
    <row r="98" spans="1:12" ht="18" customHeight="1" x14ac:dyDescent="0.3">
      <c r="A98" s="856" t="s">
        <v>302</v>
      </c>
      <c r="B98" s="857"/>
      <c r="C98" s="857"/>
      <c r="D98" s="857"/>
      <c r="E98" s="857"/>
      <c r="F98" s="876"/>
      <c r="G98" s="857"/>
      <c r="H98" s="857"/>
      <c r="I98" s="857"/>
      <c r="J98" s="857"/>
      <c r="K98" s="857"/>
      <c r="L98" s="858"/>
    </row>
    <row r="99" spans="1:12" ht="12.15" customHeight="1" thickBot="1" x14ac:dyDescent="0.35">
      <c r="A99" s="10"/>
      <c r="D99" s="16"/>
      <c r="L99" s="17"/>
    </row>
    <row r="100" spans="1:12" ht="12.15" customHeight="1" thickBot="1" x14ac:dyDescent="0.3">
      <c r="A100" s="12" t="s">
        <v>453</v>
      </c>
      <c r="B100" s="2"/>
      <c r="C100" t="s">
        <v>554</v>
      </c>
      <c r="J100" s="8">
        <f>'Maximum Rates'!D5</f>
        <v>122</v>
      </c>
      <c r="K100" s="598">
        <v>16</v>
      </c>
      <c r="L100" s="11">
        <f>(J100*K100)</f>
        <v>1952</v>
      </c>
    </row>
    <row r="101" spans="1:12" ht="12.15" customHeight="1" x14ac:dyDescent="0.25">
      <c r="A101" s="10"/>
      <c r="C101" t="s">
        <v>555</v>
      </c>
      <c r="J101" s="8"/>
      <c r="L101" s="11"/>
    </row>
    <row r="102" spans="1:12" ht="12.15" customHeight="1" thickBot="1" x14ac:dyDescent="0.3">
      <c r="A102" s="10"/>
      <c r="C102" t="s">
        <v>22</v>
      </c>
      <c r="J102" s="8"/>
      <c r="L102" s="11"/>
    </row>
    <row r="103" spans="1:12" ht="12.15" customHeight="1" thickBot="1" x14ac:dyDescent="0.3">
      <c r="A103" s="12" t="s">
        <v>454</v>
      </c>
      <c r="B103" s="2"/>
      <c r="C103" t="s">
        <v>553</v>
      </c>
      <c r="J103" s="8">
        <f>'Maximum Rates'!D6</f>
        <v>140</v>
      </c>
      <c r="K103" s="598">
        <v>24</v>
      </c>
      <c r="L103" s="11">
        <f>(J103*K103)</f>
        <v>3360</v>
      </c>
    </row>
    <row r="104" spans="1:12" ht="12.15" customHeight="1" x14ac:dyDescent="0.25">
      <c r="A104" s="10"/>
      <c r="C104" t="s">
        <v>22</v>
      </c>
      <c r="J104" s="8"/>
      <c r="L104" s="11"/>
    </row>
    <row r="105" spans="1:12" ht="12.15" customHeight="1" thickBot="1" x14ac:dyDescent="0.3">
      <c r="A105" s="10"/>
      <c r="J105" s="8"/>
      <c r="L105" s="11"/>
    </row>
    <row r="106" spans="1:12" ht="12.15" customHeight="1" thickBot="1" x14ac:dyDescent="0.3">
      <c r="A106" s="12" t="s">
        <v>455</v>
      </c>
      <c r="B106" s="2"/>
      <c r="C106" t="s">
        <v>598</v>
      </c>
      <c r="J106" s="8">
        <f>'Maximum Rates'!D7</f>
        <v>102</v>
      </c>
      <c r="K106" s="598">
        <v>8</v>
      </c>
      <c r="L106" s="11">
        <f>(J106*K106)</f>
        <v>816</v>
      </c>
    </row>
    <row r="107" spans="1:12" ht="12.15" customHeight="1" x14ac:dyDescent="0.25">
      <c r="A107" s="12" t="s">
        <v>218</v>
      </c>
      <c r="B107" s="2"/>
      <c r="C107" t="s">
        <v>22</v>
      </c>
      <c r="J107" s="8"/>
      <c r="L107" s="11"/>
    </row>
    <row r="108" spans="1:12" ht="12.15" customHeight="1" thickBot="1" x14ac:dyDescent="0.3">
      <c r="A108" s="10"/>
      <c r="J108" s="8"/>
      <c r="L108" s="11"/>
    </row>
    <row r="109" spans="1:12" ht="12.15" customHeight="1" thickBot="1" x14ac:dyDescent="0.3">
      <c r="A109" s="12" t="s">
        <v>456</v>
      </c>
      <c r="B109" s="2"/>
      <c r="C109" t="s">
        <v>536</v>
      </c>
      <c r="J109" s="8">
        <f>'Maximum Rates'!D10</f>
        <v>74</v>
      </c>
      <c r="K109" s="598">
        <v>24</v>
      </c>
      <c r="L109" s="11">
        <f>(J109*K109)</f>
        <v>1776</v>
      </c>
    </row>
    <row r="110" spans="1:12" ht="12.15" customHeight="1" x14ac:dyDescent="0.25">
      <c r="A110" s="10"/>
      <c r="C110" t="s">
        <v>397</v>
      </c>
      <c r="J110" s="8"/>
      <c r="L110" s="11"/>
    </row>
    <row r="111" spans="1:12" ht="12.15" customHeight="1" thickBot="1" x14ac:dyDescent="0.3">
      <c r="A111" s="10"/>
      <c r="C111" t="s">
        <v>22</v>
      </c>
      <c r="J111" s="8"/>
      <c r="L111" s="11"/>
    </row>
    <row r="112" spans="1:12" ht="12.15" customHeight="1" thickBot="1" x14ac:dyDescent="0.3">
      <c r="A112" s="12" t="s">
        <v>457</v>
      </c>
      <c r="B112" s="2"/>
      <c r="C112" s="48" t="s">
        <v>54</v>
      </c>
      <c r="J112" s="8">
        <f>'Maximum Rates'!D11</f>
        <v>60</v>
      </c>
      <c r="K112" s="598">
        <v>4</v>
      </c>
      <c r="L112" s="11">
        <f>(J112*K112)</f>
        <v>240</v>
      </c>
    </row>
    <row r="113" spans="1:12" ht="12.15" customHeight="1" thickBot="1" x14ac:dyDescent="0.3">
      <c r="A113" s="10"/>
      <c r="C113" t="s">
        <v>22</v>
      </c>
      <c r="L113" s="11"/>
    </row>
    <row r="114" spans="1:12" ht="12.15" customHeight="1" thickBot="1" x14ac:dyDescent="0.3">
      <c r="A114" s="13"/>
      <c r="B114" s="14"/>
      <c r="C114" s="14"/>
      <c r="D114" s="14"/>
      <c r="E114" s="14"/>
      <c r="F114" s="14"/>
      <c r="G114" s="563" t="s">
        <v>426</v>
      </c>
      <c r="H114" s="564"/>
      <c r="I114" s="564"/>
      <c r="J114" s="564"/>
      <c r="K114" s="596"/>
      <c r="L114" s="6">
        <f>SUM(L100:L113)</f>
        <v>8144</v>
      </c>
    </row>
    <row r="115" spans="1:12" ht="12.15" customHeight="1" x14ac:dyDescent="0.25">
      <c r="K115"/>
    </row>
    <row r="116" spans="1:12" ht="12.15" customHeight="1" x14ac:dyDescent="0.25">
      <c r="K116"/>
    </row>
    <row r="117" spans="1:12" ht="12.15" customHeight="1" x14ac:dyDescent="0.25">
      <c r="K117"/>
    </row>
    <row r="118" spans="1:12" ht="12.15" customHeight="1" x14ac:dyDescent="0.25">
      <c r="K118"/>
    </row>
    <row r="119" spans="1:12" ht="12.15" customHeight="1" x14ac:dyDescent="0.25">
      <c r="K119"/>
    </row>
    <row r="120" spans="1:12" ht="12.15" customHeight="1" x14ac:dyDescent="0.25">
      <c r="K120"/>
    </row>
    <row r="121" spans="1:12" ht="12.15" customHeight="1" x14ac:dyDescent="0.25">
      <c r="K121"/>
    </row>
    <row r="122" spans="1:12" ht="12.15" customHeight="1" thickBot="1" x14ac:dyDescent="0.3">
      <c r="K122"/>
    </row>
    <row r="123" spans="1:12" ht="18" customHeight="1" x14ac:dyDescent="0.25">
      <c r="A123" s="875" t="s">
        <v>210</v>
      </c>
      <c r="B123" s="876"/>
      <c r="C123" s="876"/>
      <c r="D123" s="876"/>
      <c r="E123" s="876"/>
      <c r="F123" s="876"/>
      <c r="G123" s="876"/>
      <c r="H123" s="876"/>
      <c r="I123" s="876"/>
      <c r="J123" s="876"/>
      <c r="K123" s="876"/>
      <c r="L123" s="877"/>
    </row>
    <row r="124" spans="1:12" ht="12.15" customHeight="1" thickBot="1" x14ac:dyDescent="0.35">
      <c r="A124" s="10"/>
      <c r="D124" s="16"/>
      <c r="L124" s="17"/>
    </row>
    <row r="125" spans="1:12" ht="12.15" customHeight="1" thickBot="1" x14ac:dyDescent="0.3">
      <c r="A125" s="12" t="s">
        <v>453</v>
      </c>
      <c r="B125" s="2"/>
      <c r="C125" t="s">
        <v>557</v>
      </c>
      <c r="J125" s="8">
        <f>'Maximum Rates'!D5</f>
        <v>122</v>
      </c>
      <c r="K125" s="598">
        <v>16</v>
      </c>
      <c r="L125" s="11">
        <f>(J125*K125)</f>
        <v>1952</v>
      </c>
    </row>
    <row r="126" spans="1:12" ht="12.15" customHeight="1" x14ac:dyDescent="0.25">
      <c r="A126" s="10"/>
      <c r="C126" t="s">
        <v>534</v>
      </c>
      <c r="J126" s="8"/>
      <c r="L126" s="11"/>
    </row>
    <row r="127" spans="1:12" ht="12.15" customHeight="1" thickBot="1" x14ac:dyDescent="0.3">
      <c r="A127" s="10"/>
      <c r="C127" t="s">
        <v>22</v>
      </c>
      <c r="J127" s="8"/>
      <c r="L127" s="11"/>
    </row>
    <row r="128" spans="1:12" ht="12.15" customHeight="1" thickBot="1" x14ac:dyDescent="0.3">
      <c r="A128" s="12" t="s">
        <v>454</v>
      </c>
      <c r="B128" s="2"/>
      <c r="C128" t="s">
        <v>502</v>
      </c>
      <c r="J128" s="8">
        <f>'Maximum Rates'!D6</f>
        <v>140</v>
      </c>
      <c r="K128" s="598">
        <v>20</v>
      </c>
      <c r="L128" s="11">
        <f>(J128*K128)</f>
        <v>2800</v>
      </c>
    </row>
    <row r="129" spans="1:12" ht="12.15" customHeight="1" x14ac:dyDescent="0.25">
      <c r="A129" s="10"/>
      <c r="C129" t="s">
        <v>22</v>
      </c>
      <c r="J129" s="8"/>
      <c r="L129" s="11"/>
    </row>
    <row r="130" spans="1:12" ht="12.15" customHeight="1" thickBot="1" x14ac:dyDescent="0.3">
      <c r="A130" s="10"/>
      <c r="J130" s="8"/>
      <c r="L130" s="11"/>
    </row>
    <row r="131" spans="1:12" ht="12.15" customHeight="1" thickBot="1" x14ac:dyDescent="0.3">
      <c r="A131" s="12" t="s">
        <v>455</v>
      </c>
      <c r="B131" s="2"/>
      <c r="C131" t="s">
        <v>556</v>
      </c>
      <c r="J131" s="8">
        <f>'Maximum Rates'!D7</f>
        <v>102</v>
      </c>
      <c r="K131" s="598">
        <v>7</v>
      </c>
      <c r="L131" s="11">
        <f>(J131*K131)</f>
        <v>714</v>
      </c>
    </row>
    <row r="132" spans="1:12" ht="12.15" customHeight="1" x14ac:dyDescent="0.25">
      <c r="A132" s="12" t="s">
        <v>218</v>
      </c>
      <c r="B132" s="2"/>
      <c r="C132" t="s">
        <v>22</v>
      </c>
      <c r="J132" s="8"/>
      <c r="L132" s="11"/>
    </row>
    <row r="133" spans="1:12" ht="12.15" customHeight="1" thickBot="1" x14ac:dyDescent="0.3">
      <c r="A133" s="10"/>
      <c r="J133" s="8"/>
      <c r="L133" s="11"/>
    </row>
    <row r="134" spans="1:12" ht="12.15" customHeight="1" thickBot="1" x14ac:dyDescent="0.3">
      <c r="A134" s="12" t="s">
        <v>456</v>
      </c>
      <c r="B134" s="2"/>
      <c r="C134" t="s">
        <v>536</v>
      </c>
      <c r="J134" s="8">
        <f>'Maximum Rates'!D10</f>
        <v>74</v>
      </c>
      <c r="K134" s="598">
        <v>20</v>
      </c>
      <c r="L134" s="11">
        <f>(J134*K134)</f>
        <v>1480</v>
      </c>
    </row>
    <row r="135" spans="1:12" ht="12.15" customHeight="1" x14ac:dyDescent="0.25">
      <c r="A135" s="10"/>
      <c r="C135" t="s">
        <v>397</v>
      </c>
      <c r="J135" s="8"/>
      <c r="L135" s="11"/>
    </row>
    <row r="136" spans="1:12" ht="12.15" customHeight="1" thickBot="1" x14ac:dyDescent="0.3">
      <c r="A136" s="10"/>
      <c r="C136" t="s">
        <v>22</v>
      </c>
      <c r="J136" s="8"/>
      <c r="L136" s="11"/>
    </row>
    <row r="137" spans="1:12" ht="12.15" customHeight="1" thickBot="1" x14ac:dyDescent="0.3">
      <c r="A137" s="12" t="s">
        <v>457</v>
      </c>
      <c r="B137" s="2"/>
      <c r="C137" s="48" t="s">
        <v>464</v>
      </c>
      <c r="J137" s="8">
        <f>'Maximum Rates'!D11</f>
        <v>60</v>
      </c>
      <c r="K137" s="598">
        <v>4</v>
      </c>
      <c r="L137" s="11">
        <f>(J137*K137)</f>
        <v>240</v>
      </c>
    </row>
    <row r="138" spans="1:12" ht="12.15" customHeight="1" thickBot="1" x14ac:dyDescent="0.3">
      <c r="A138" s="10"/>
      <c r="C138" t="s">
        <v>22</v>
      </c>
      <c r="L138" s="11"/>
    </row>
    <row r="139" spans="1:12" ht="12.15" customHeight="1" thickBot="1" x14ac:dyDescent="0.3">
      <c r="A139" s="13"/>
      <c r="B139" s="14"/>
      <c r="C139" s="14"/>
      <c r="D139" s="14"/>
      <c r="E139" s="14"/>
      <c r="F139" s="14"/>
      <c r="G139" s="563" t="s">
        <v>359</v>
      </c>
      <c r="H139" s="564"/>
      <c r="I139" s="564"/>
      <c r="J139" s="564"/>
      <c r="K139" s="596"/>
      <c r="L139" s="6">
        <f>SUM(L125:L138)</f>
        <v>7186</v>
      </c>
    </row>
    <row r="140" spans="1:12" ht="12.15" customHeight="1" thickBot="1" x14ac:dyDescent="0.3"/>
    <row r="141" spans="1:12" ht="18" customHeight="1" x14ac:dyDescent="0.25">
      <c r="A141" s="875" t="s">
        <v>303</v>
      </c>
      <c r="B141" s="876"/>
      <c r="C141" s="876"/>
      <c r="D141" s="876"/>
      <c r="E141" s="876"/>
      <c r="F141" s="876"/>
      <c r="G141" s="876"/>
      <c r="H141" s="876"/>
      <c r="I141" s="876"/>
      <c r="J141" s="876"/>
      <c r="K141" s="876"/>
      <c r="L141" s="877"/>
    </row>
    <row r="142" spans="1:12" ht="12.15" customHeight="1" thickBot="1" x14ac:dyDescent="0.35">
      <c r="A142" s="10"/>
      <c r="D142" s="16"/>
      <c r="L142" s="17"/>
    </row>
    <row r="143" spans="1:12" ht="12.15" customHeight="1" thickBot="1" x14ac:dyDescent="0.3">
      <c r="A143" s="12" t="s">
        <v>453</v>
      </c>
      <c r="B143" s="2"/>
      <c r="C143" t="s">
        <v>1</v>
      </c>
      <c r="J143" s="8">
        <f>'Maximum Rates'!D5</f>
        <v>122</v>
      </c>
      <c r="K143" s="598">
        <v>16</v>
      </c>
      <c r="L143" s="11">
        <f>(J143*K143)</f>
        <v>1952</v>
      </c>
    </row>
    <row r="144" spans="1:12" ht="12.15" customHeight="1" x14ac:dyDescent="0.25">
      <c r="A144" s="10"/>
      <c r="C144" t="s">
        <v>534</v>
      </c>
      <c r="J144" s="8"/>
      <c r="L144" s="11"/>
    </row>
    <row r="145" spans="1:12" ht="12.15" customHeight="1" thickBot="1" x14ac:dyDescent="0.3">
      <c r="A145" s="10"/>
      <c r="C145" t="s">
        <v>22</v>
      </c>
      <c r="J145" s="8"/>
      <c r="L145" s="11"/>
    </row>
    <row r="146" spans="1:12" ht="12.15" customHeight="1" thickBot="1" x14ac:dyDescent="0.3">
      <c r="A146" s="12" t="s">
        <v>454</v>
      </c>
      <c r="B146" s="2"/>
      <c r="C146" t="s">
        <v>502</v>
      </c>
      <c r="J146" s="8">
        <f>'Maximum Rates'!D6</f>
        <v>140</v>
      </c>
      <c r="K146" s="598">
        <v>16</v>
      </c>
      <c r="L146" s="11">
        <f>(J146*K146)</f>
        <v>2240</v>
      </c>
    </row>
    <row r="147" spans="1:12" ht="12.15" customHeight="1" x14ac:dyDescent="0.25">
      <c r="A147" s="10"/>
      <c r="C147" t="s">
        <v>22</v>
      </c>
      <c r="J147" s="8"/>
      <c r="L147" s="11"/>
    </row>
    <row r="148" spans="1:12" ht="12.15" customHeight="1" thickBot="1" x14ac:dyDescent="0.3">
      <c r="A148" s="10"/>
      <c r="J148" s="8"/>
      <c r="L148" s="11"/>
    </row>
    <row r="149" spans="1:12" ht="12.15" customHeight="1" thickBot="1" x14ac:dyDescent="0.3">
      <c r="A149" s="12" t="s">
        <v>455</v>
      </c>
      <c r="B149" s="2"/>
      <c r="C149" t="s">
        <v>598</v>
      </c>
      <c r="J149" s="8">
        <f>'Maximum Rates'!D7</f>
        <v>102</v>
      </c>
      <c r="K149" s="598">
        <v>7</v>
      </c>
      <c r="L149" s="11">
        <f>(J149*K149)</f>
        <v>714</v>
      </c>
    </row>
    <row r="150" spans="1:12" ht="12.15" customHeight="1" x14ac:dyDescent="0.25">
      <c r="A150" s="12" t="s">
        <v>218</v>
      </c>
      <c r="B150" s="2"/>
      <c r="C150" t="s">
        <v>22</v>
      </c>
      <c r="J150" s="8"/>
      <c r="L150" s="11"/>
    </row>
    <row r="151" spans="1:12" ht="12.15" customHeight="1" thickBot="1" x14ac:dyDescent="0.3">
      <c r="A151" s="10"/>
      <c r="J151" s="8"/>
      <c r="L151" s="11"/>
    </row>
    <row r="152" spans="1:12" ht="12.15" customHeight="1" thickBot="1" x14ac:dyDescent="0.3">
      <c r="A152" s="12" t="s">
        <v>456</v>
      </c>
      <c r="B152" s="2"/>
      <c r="C152" t="s">
        <v>536</v>
      </c>
      <c r="J152" s="8">
        <f>'Maximum Rates'!D10</f>
        <v>74</v>
      </c>
      <c r="K152" s="598">
        <v>20</v>
      </c>
      <c r="L152" s="11">
        <f>(J152*K152)</f>
        <v>1480</v>
      </c>
    </row>
    <row r="153" spans="1:12" ht="12.15" customHeight="1" x14ac:dyDescent="0.25">
      <c r="A153" s="10"/>
      <c r="C153" t="s">
        <v>397</v>
      </c>
      <c r="J153" s="8"/>
      <c r="L153" s="11"/>
    </row>
    <row r="154" spans="1:12" ht="12.15" customHeight="1" thickBot="1" x14ac:dyDescent="0.3">
      <c r="A154" s="10"/>
      <c r="C154" t="s">
        <v>22</v>
      </c>
      <c r="J154" s="8"/>
      <c r="L154" s="11"/>
    </row>
    <row r="155" spans="1:12" ht="12.15" customHeight="1" thickBot="1" x14ac:dyDescent="0.3">
      <c r="A155" s="12" t="s">
        <v>457</v>
      </c>
      <c r="B155" s="2"/>
      <c r="C155" s="48" t="s">
        <v>464</v>
      </c>
      <c r="J155" s="8">
        <f>'Maximum Rates'!D11</f>
        <v>60</v>
      </c>
      <c r="K155" s="598">
        <v>4</v>
      </c>
      <c r="L155" s="11">
        <f>(J155*K155)</f>
        <v>240</v>
      </c>
    </row>
    <row r="156" spans="1:12" ht="12.15" customHeight="1" thickBot="1" x14ac:dyDescent="0.3">
      <c r="A156" s="10"/>
      <c r="C156" t="s">
        <v>22</v>
      </c>
      <c r="L156" s="11"/>
    </row>
    <row r="157" spans="1:12" ht="12.15" customHeight="1" thickBot="1" x14ac:dyDescent="0.3">
      <c r="A157" s="13"/>
      <c r="B157" s="14"/>
      <c r="C157" s="14"/>
      <c r="D157" s="14"/>
      <c r="E157" s="14"/>
      <c r="F157" s="14"/>
      <c r="G157" s="563" t="s">
        <v>360</v>
      </c>
      <c r="H157" s="564"/>
      <c r="I157" s="564"/>
      <c r="J157" s="564"/>
      <c r="K157" s="596"/>
      <c r="L157" s="6">
        <f>SUM(L143:L156)</f>
        <v>6626</v>
      </c>
    </row>
    <row r="158" spans="1:12" ht="12.15" customHeight="1" thickBot="1" x14ac:dyDescent="0.3"/>
    <row r="159" spans="1:12" ht="18" customHeight="1" x14ac:dyDescent="0.25">
      <c r="A159" s="875" t="s">
        <v>517</v>
      </c>
      <c r="B159" s="876"/>
      <c r="C159" s="876"/>
      <c r="D159" s="876"/>
      <c r="E159" s="876"/>
      <c r="F159" s="876"/>
      <c r="G159" s="876"/>
      <c r="H159" s="876"/>
      <c r="I159" s="876"/>
      <c r="J159" s="876"/>
      <c r="K159" s="876"/>
      <c r="L159" s="877"/>
    </row>
    <row r="160" spans="1:12" ht="12.15" customHeight="1" thickBot="1" x14ac:dyDescent="0.35">
      <c r="A160" s="10"/>
      <c r="D160" s="16"/>
      <c r="L160" s="17"/>
    </row>
    <row r="161" spans="1:12" ht="12.15" customHeight="1" thickBot="1" x14ac:dyDescent="0.3">
      <c r="A161" s="12" t="s">
        <v>453</v>
      </c>
      <c r="B161" s="2"/>
      <c r="J161" s="8">
        <f>'Maximum Rates'!D5</f>
        <v>122</v>
      </c>
      <c r="K161" s="598"/>
      <c r="L161" s="11">
        <f>(J161*K161)</f>
        <v>0</v>
      </c>
    </row>
    <row r="162" spans="1:12" ht="12.15" customHeight="1" x14ac:dyDescent="0.25">
      <c r="A162" s="10"/>
      <c r="J162" s="8"/>
      <c r="L162" s="11"/>
    </row>
    <row r="163" spans="1:12" ht="12.15" customHeight="1" thickBot="1" x14ac:dyDescent="0.3">
      <c r="A163" s="10"/>
      <c r="J163" s="8"/>
      <c r="L163" s="11"/>
    </row>
    <row r="164" spans="1:12" ht="12.15" customHeight="1" thickBot="1" x14ac:dyDescent="0.3">
      <c r="A164" s="12" t="s">
        <v>454</v>
      </c>
      <c r="B164" s="2"/>
      <c r="C164" t="s">
        <v>606</v>
      </c>
      <c r="J164" s="8">
        <f>'Maximum Rates'!D6</f>
        <v>140</v>
      </c>
      <c r="K164" s="598">
        <v>8</v>
      </c>
      <c r="L164" s="11">
        <f>(J164*K164)</f>
        <v>1120</v>
      </c>
    </row>
    <row r="165" spans="1:12" ht="12.15" customHeight="1" x14ac:dyDescent="0.25">
      <c r="A165" s="10"/>
      <c r="C165" t="s">
        <v>22</v>
      </c>
      <c r="J165" s="8"/>
      <c r="L165" s="11"/>
    </row>
    <row r="166" spans="1:12" ht="12.15" customHeight="1" thickBot="1" x14ac:dyDescent="0.3">
      <c r="A166" s="10"/>
      <c r="J166" s="8"/>
      <c r="L166" s="11"/>
    </row>
    <row r="167" spans="1:12" ht="12.15" customHeight="1" thickBot="1" x14ac:dyDescent="0.3">
      <c r="A167" s="12" t="s">
        <v>455</v>
      </c>
      <c r="B167" s="2"/>
      <c r="J167" s="8">
        <f>'Maximum Rates'!D7</f>
        <v>102</v>
      </c>
      <c r="K167" s="598"/>
      <c r="L167" s="11">
        <f>(J167*K167)</f>
        <v>0</v>
      </c>
    </row>
    <row r="168" spans="1:12" ht="12.15" customHeight="1" x14ac:dyDescent="0.25">
      <c r="A168" s="12" t="s">
        <v>218</v>
      </c>
      <c r="B168" s="2"/>
      <c r="J168" s="8"/>
      <c r="L168" s="11"/>
    </row>
    <row r="169" spans="1:12" ht="12.15" customHeight="1" thickBot="1" x14ac:dyDescent="0.3">
      <c r="A169" s="10"/>
      <c r="J169" s="8"/>
      <c r="L169" s="11"/>
    </row>
    <row r="170" spans="1:12" ht="12.15" customHeight="1" thickBot="1" x14ac:dyDescent="0.3">
      <c r="A170" s="12" t="s">
        <v>456</v>
      </c>
      <c r="B170" s="2"/>
      <c r="J170" s="8">
        <f>'Maximum Rates'!D10</f>
        <v>74</v>
      </c>
      <c r="K170" s="598"/>
      <c r="L170" s="11">
        <f>(J170*K170)</f>
        <v>0</v>
      </c>
    </row>
    <row r="171" spans="1:12" ht="12.15" customHeight="1" x14ac:dyDescent="0.25">
      <c r="A171" s="10"/>
      <c r="J171" s="8"/>
      <c r="L171" s="11"/>
    </row>
    <row r="172" spans="1:12" ht="12.15" customHeight="1" thickBot="1" x14ac:dyDescent="0.3">
      <c r="A172" s="10"/>
      <c r="J172" s="8"/>
      <c r="L172" s="11"/>
    </row>
    <row r="173" spans="1:12" ht="12.15" customHeight="1" thickBot="1" x14ac:dyDescent="0.3">
      <c r="A173" s="12" t="s">
        <v>457</v>
      </c>
      <c r="B173" s="2"/>
      <c r="J173" s="8">
        <f>'Maximum Rates'!D11</f>
        <v>60</v>
      </c>
      <c r="K173" s="598"/>
      <c r="L173" s="11">
        <f>(J173*K173)</f>
        <v>0</v>
      </c>
    </row>
    <row r="174" spans="1:12" ht="12.15" customHeight="1" thickBot="1" x14ac:dyDescent="0.3">
      <c r="A174" s="10"/>
      <c r="L174" s="11"/>
    </row>
    <row r="175" spans="1:12" ht="12.15" customHeight="1" thickBot="1" x14ac:dyDescent="0.3">
      <c r="A175" s="13"/>
      <c r="B175" s="14"/>
      <c r="C175" s="14"/>
      <c r="D175" s="14"/>
      <c r="E175" s="14"/>
      <c r="F175" s="563" t="s">
        <v>392</v>
      </c>
      <c r="G175" s="564"/>
      <c r="H175" s="564"/>
      <c r="I175" s="564"/>
      <c r="J175" s="564"/>
      <c r="K175" s="596"/>
      <c r="L175" s="6">
        <f>SUM(L161:L174)</f>
        <v>1120</v>
      </c>
    </row>
    <row r="176" spans="1:12" ht="12.15" customHeight="1" x14ac:dyDescent="0.25"/>
    <row r="177" ht="12.15" customHeight="1" x14ac:dyDescent="0.25"/>
    <row r="178" ht="12.15" customHeight="1" x14ac:dyDescent="0.25"/>
    <row r="179" ht="12.15" customHeight="1" x14ac:dyDescent="0.25"/>
    <row r="180" ht="12.15" customHeight="1" x14ac:dyDescent="0.25"/>
    <row r="181" ht="12.15" customHeight="1" x14ac:dyDescent="0.25"/>
    <row r="182" ht="12.15" customHeight="1" x14ac:dyDescent="0.25"/>
    <row r="183" ht="12.15" customHeight="1" x14ac:dyDescent="0.25"/>
    <row r="184" ht="12.15" customHeight="1" x14ac:dyDescent="0.25"/>
    <row r="185" ht="12.15" customHeight="1" x14ac:dyDescent="0.25"/>
    <row r="186" ht="12.15" customHeight="1" x14ac:dyDescent="0.25"/>
    <row r="187" ht="12.15" customHeight="1" x14ac:dyDescent="0.25"/>
    <row r="188" ht="12.15" customHeight="1" x14ac:dyDescent="0.25"/>
    <row r="189" ht="12.15" customHeight="1" x14ac:dyDescent="0.25"/>
    <row r="190" ht="12.15" customHeight="1" x14ac:dyDescent="0.25"/>
    <row r="191" ht="12.15" customHeight="1" x14ac:dyDescent="0.25"/>
    <row r="192" ht="12.15" customHeight="1" x14ac:dyDescent="0.25"/>
    <row r="193" ht="12.15" customHeight="1" x14ac:dyDescent="0.25"/>
    <row r="194" ht="12.15" customHeight="1" x14ac:dyDescent="0.25"/>
    <row r="195" ht="12.15" customHeight="1" x14ac:dyDescent="0.25"/>
    <row r="196" ht="12.15" customHeight="1" x14ac:dyDescent="0.25"/>
    <row r="197" ht="12.15" customHeight="1" x14ac:dyDescent="0.25"/>
    <row r="198" ht="12.15" customHeight="1" x14ac:dyDescent="0.25"/>
    <row r="199" ht="12.15" customHeight="1" x14ac:dyDescent="0.25"/>
    <row r="200" ht="12.15" customHeight="1" x14ac:dyDescent="0.25"/>
    <row r="201" ht="12.15" customHeight="1" x14ac:dyDescent="0.25"/>
    <row r="202" ht="12.15" customHeight="1" x14ac:dyDescent="0.25"/>
    <row r="203" ht="12.15" customHeight="1" x14ac:dyDescent="0.25"/>
    <row r="204" ht="12.15" customHeight="1" x14ac:dyDescent="0.25"/>
    <row r="205" ht="12.15" customHeight="1" x14ac:dyDescent="0.25"/>
    <row r="206" ht="12.15" customHeight="1" x14ac:dyDescent="0.25"/>
    <row r="207" ht="12.15" customHeight="1" x14ac:dyDescent="0.25"/>
    <row r="208" ht="12.15" customHeight="1" x14ac:dyDescent="0.25"/>
    <row r="209" ht="12.15" customHeight="1" x14ac:dyDescent="0.25"/>
    <row r="210" ht="12.15" customHeight="1" x14ac:dyDescent="0.25"/>
    <row r="211" ht="12.15" customHeight="1" x14ac:dyDescent="0.25"/>
    <row r="212" ht="12.15" customHeight="1" x14ac:dyDescent="0.25"/>
    <row r="213" ht="12.15" customHeight="1" x14ac:dyDescent="0.25"/>
    <row r="214" ht="12.15" customHeight="1" x14ac:dyDescent="0.25"/>
    <row r="215" ht="12.15" customHeight="1" x14ac:dyDescent="0.25"/>
    <row r="216" ht="12.15" customHeight="1" x14ac:dyDescent="0.25"/>
    <row r="217" ht="12.15" customHeight="1" x14ac:dyDescent="0.25"/>
    <row r="218" ht="12.15" customHeight="1" x14ac:dyDescent="0.25"/>
    <row r="219" ht="12.15" customHeight="1" x14ac:dyDescent="0.25"/>
    <row r="220" ht="12.15" customHeight="1" x14ac:dyDescent="0.25"/>
    <row r="221" ht="12.15" customHeight="1" x14ac:dyDescent="0.25"/>
    <row r="222" ht="12.15" customHeight="1" x14ac:dyDescent="0.25"/>
    <row r="223" ht="12.15" customHeight="1" x14ac:dyDescent="0.25"/>
    <row r="224" ht="12.15" customHeight="1" x14ac:dyDescent="0.25"/>
    <row r="225" ht="12.15" customHeight="1" x14ac:dyDescent="0.25"/>
    <row r="226" ht="12.15" customHeight="1" x14ac:dyDescent="0.25"/>
    <row r="227" ht="12.15" customHeight="1" x14ac:dyDescent="0.25"/>
    <row r="228" ht="12.15" customHeight="1" x14ac:dyDescent="0.25"/>
    <row r="229" ht="12.15" customHeight="1" x14ac:dyDescent="0.25"/>
    <row r="230" ht="12.15" customHeight="1" x14ac:dyDescent="0.25"/>
    <row r="231" ht="12.15" customHeight="1" x14ac:dyDescent="0.25"/>
    <row r="232" ht="12.15" customHeight="1" x14ac:dyDescent="0.25"/>
    <row r="233" ht="12.15" customHeight="1" x14ac:dyDescent="0.25"/>
    <row r="234" ht="12.15" customHeight="1" x14ac:dyDescent="0.25"/>
    <row r="235" ht="12.15" customHeight="1" x14ac:dyDescent="0.25"/>
    <row r="236" ht="12.15" customHeight="1" x14ac:dyDescent="0.25"/>
    <row r="237" ht="12.15" customHeight="1" x14ac:dyDescent="0.25"/>
    <row r="238" ht="12.15" customHeight="1" x14ac:dyDescent="0.25"/>
    <row r="239" ht="12.15" customHeight="1" x14ac:dyDescent="0.25"/>
    <row r="240" ht="12.15" customHeight="1" x14ac:dyDescent="0.25"/>
  </sheetData>
  <sheetProtection password="DC01" sheet="1" objects="1" scenarios="1" selectLockedCells="1"/>
  <customSheetViews>
    <customSheetView guid="{BC429C65-53B8-4F97-88D2-74ECCD734800}" scale="90" showGridLines="0" showRowCol="0" state="hidden">
      <selection activeCell="B4" sqref="B4:L4"/>
      <rowBreaks count="2" manualBreakCount="2">
        <brk id="57" max="16383" man="1"/>
        <brk id="111" max="16383" man="1"/>
      </rowBreaks>
      <pageMargins left="0.25" right="0.25" top="1" bottom="0.25" header="0.5" footer="0.5"/>
      <printOptions horizontalCentered="1"/>
      <pageSetup scale="83" orientation="portrait" horizontalDpi="4294967292" verticalDpi="4294967292" r:id="rId1"/>
      <headerFooter alignWithMargins="0"/>
    </customSheetView>
  </customSheetViews>
  <phoneticPr fontId="7" type="noConversion"/>
  <printOptions horizontalCentered="1"/>
  <pageMargins left="0.25" right="0.25" top="0.75" bottom="0.25" header="0.17" footer="0.5"/>
  <pageSetup orientation="portrait" r:id="rId2"/>
  <headerFooter alignWithMargins="0">
    <oddHeader>&amp;C&amp;18Units for CAP Development</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tabColor theme="3" tint="0.79998168889431442"/>
  </sheetPr>
  <dimension ref="A1:M251"/>
  <sheetViews>
    <sheetView showGridLines="0" showRowColHeaders="0" showRuler="0" view="pageLayout" zoomScaleNormal="100" workbookViewId="0">
      <selection activeCell="E8" sqref="E8:I10"/>
    </sheetView>
  </sheetViews>
  <sheetFormatPr defaultColWidth="7.33203125" defaultRowHeight="13.2" x14ac:dyDescent="0.25"/>
  <cols>
    <col min="1" max="5" width="8.5546875" customWidth="1"/>
    <col min="6" max="6" width="8.5546875" style="546" customWidth="1"/>
    <col min="7" max="8" width="8.5546875" customWidth="1"/>
    <col min="9" max="9" width="6.44140625" customWidth="1"/>
    <col min="10" max="10" width="8.5546875" customWidth="1"/>
    <col min="11" max="11" width="8.5546875" style="546" customWidth="1"/>
    <col min="12" max="12" width="9.6640625" customWidth="1"/>
    <col min="13" max="13" width="8.5546875" customWidth="1"/>
  </cols>
  <sheetData>
    <row r="1" spans="1:13" ht="18" customHeight="1" x14ac:dyDescent="0.3">
      <c r="A1" s="875" t="s">
        <v>563</v>
      </c>
      <c r="B1" s="857"/>
      <c r="C1" s="857"/>
      <c r="D1" s="857"/>
      <c r="E1" s="876"/>
      <c r="F1" s="857"/>
      <c r="G1" s="857"/>
      <c r="H1" s="857"/>
      <c r="I1" s="857"/>
      <c r="J1" s="857"/>
      <c r="K1" s="857"/>
      <c r="L1" s="858"/>
    </row>
    <row r="2" spans="1:13" ht="12.15" customHeight="1" thickBot="1" x14ac:dyDescent="0.45">
      <c r="A2" s="10"/>
      <c r="D2" s="16"/>
      <c r="L2" s="17"/>
      <c r="M2" s="611"/>
    </row>
    <row r="3" spans="1:13" ht="12.15" customHeight="1" thickBot="1" x14ac:dyDescent="0.3">
      <c r="A3" s="12" t="s">
        <v>453</v>
      </c>
      <c r="B3" s="2"/>
      <c r="C3" t="s">
        <v>473</v>
      </c>
      <c r="J3" s="8">
        <f>'Maximum Rates'!D5</f>
        <v>122</v>
      </c>
      <c r="K3" s="551">
        <v>8</v>
      </c>
      <c r="L3" s="11">
        <f>(J3*K3)</f>
        <v>976</v>
      </c>
    </row>
    <row r="4" spans="1:13" ht="12.15" customHeight="1" x14ac:dyDescent="0.25">
      <c r="A4" s="10"/>
      <c r="C4" t="s">
        <v>474</v>
      </c>
      <c r="J4" s="8"/>
      <c r="L4" s="11"/>
    </row>
    <row r="5" spans="1:13" ht="12.15" customHeight="1" thickBot="1" x14ac:dyDescent="0.3">
      <c r="A5" s="10"/>
      <c r="C5" t="s">
        <v>22</v>
      </c>
      <c r="J5" s="8"/>
      <c r="L5" s="11"/>
    </row>
    <row r="6" spans="1:13" ht="12.15" customHeight="1" thickBot="1" x14ac:dyDescent="0.3">
      <c r="A6" s="12" t="s">
        <v>454</v>
      </c>
      <c r="B6" s="2"/>
      <c r="C6" t="s">
        <v>442</v>
      </c>
      <c r="J6" s="8">
        <f>'Maximum Rates'!D6</f>
        <v>140</v>
      </c>
      <c r="K6" s="551">
        <v>4</v>
      </c>
      <c r="L6" s="11">
        <f>(J6*K6)</f>
        <v>560</v>
      </c>
    </row>
    <row r="7" spans="1:13" ht="12.15" customHeight="1" x14ac:dyDescent="0.25">
      <c r="A7" s="10"/>
      <c r="C7" t="s">
        <v>22</v>
      </c>
      <c r="J7" s="8"/>
      <c r="L7" s="11"/>
    </row>
    <row r="8" spans="1:13" ht="12.15" customHeight="1" thickBot="1" x14ac:dyDescent="0.3">
      <c r="A8" s="10"/>
      <c r="J8" s="8"/>
      <c r="L8" s="11"/>
    </row>
    <row r="9" spans="1:13" ht="12.15" customHeight="1" thickBot="1" x14ac:dyDescent="0.3">
      <c r="A9" s="12" t="s">
        <v>455</v>
      </c>
      <c r="B9" s="2"/>
      <c r="C9" t="s">
        <v>366</v>
      </c>
      <c r="J9" s="8">
        <f>'Maximum Rates'!D7</f>
        <v>102</v>
      </c>
      <c r="K9" s="551">
        <v>6</v>
      </c>
      <c r="L9" s="11">
        <f>(J9*K9)</f>
        <v>612</v>
      </c>
    </row>
    <row r="10" spans="1:13" ht="12.15" customHeight="1" x14ac:dyDescent="0.25">
      <c r="A10" s="12" t="s">
        <v>218</v>
      </c>
      <c r="B10" s="2"/>
      <c r="C10" t="s">
        <v>22</v>
      </c>
      <c r="J10" s="8"/>
      <c r="L10" s="11"/>
    </row>
    <row r="11" spans="1:13" ht="12.15" customHeight="1" thickBot="1" x14ac:dyDescent="0.3">
      <c r="A11" s="10"/>
      <c r="J11" s="8"/>
      <c r="L11" s="11"/>
    </row>
    <row r="12" spans="1:13" ht="12.15" customHeight="1" thickBot="1" x14ac:dyDescent="0.3">
      <c r="A12" s="12" t="s">
        <v>456</v>
      </c>
      <c r="B12" s="2"/>
      <c r="C12" t="s">
        <v>367</v>
      </c>
      <c r="J12" s="8">
        <f>'Maximum Rates'!D10</f>
        <v>74</v>
      </c>
      <c r="K12" s="551">
        <v>2</v>
      </c>
      <c r="L12" s="11">
        <f>(J12*K12)</f>
        <v>148</v>
      </c>
    </row>
    <row r="13" spans="1:13" ht="12.15" customHeight="1" x14ac:dyDescent="0.25">
      <c r="A13" s="10"/>
      <c r="C13" t="s">
        <v>397</v>
      </c>
      <c r="J13" s="8"/>
      <c r="L13" s="11"/>
    </row>
    <row r="14" spans="1:13" ht="12.15" customHeight="1" thickBot="1" x14ac:dyDescent="0.3">
      <c r="A14" s="10"/>
      <c r="C14" t="s">
        <v>22</v>
      </c>
      <c r="J14" s="8"/>
      <c r="L14" s="11"/>
    </row>
    <row r="15" spans="1:13" ht="12.15" customHeight="1" thickBot="1" x14ac:dyDescent="0.3">
      <c r="A15" s="12" t="s">
        <v>457</v>
      </c>
      <c r="B15" s="2"/>
      <c r="C15" t="s">
        <v>448</v>
      </c>
      <c r="J15" s="8">
        <f>'Maximum Rates'!D11</f>
        <v>60</v>
      </c>
      <c r="K15" s="551">
        <v>2</v>
      </c>
      <c r="L15" s="11">
        <f>(J15*K15)</f>
        <v>120</v>
      </c>
    </row>
    <row r="16" spans="1:13" ht="12.15" customHeight="1" thickBot="1" x14ac:dyDescent="0.3">
      <c r="A16" s="10"/>
      <c r="C16" t="s">
        <v>22</v>
      </c>
      <c r="L16" s="11"/>
    </row>
    <row r="17" spans="1:12" ht="12.15" customHeight="1" thickBot="1" x14ac:dyDescent="0.3">
      <c r="A17" s="13"/>
      <c r="B17" s="14"/>
      <c r="C17" s="14"/>
      <c r="D17" s="14"/>
      <c r="E17" s="563" t="s">
        <v>564</v>
      </c>
      <c r="F17" s="548"/>
      <c r="G17" s="564"/>
      <c r="H17" s="564"/>
      <c r="I17" s="564"/>
      <c r="J17" s="564"/>
      <c r="K17" s="548"/>
      <c r="L17" s="6">
        <f>SUM(L3:L16)</f>
        <v>2416</v>
      </c>
    </row>
    <row r="18" spans="1:12" ht="12.15" customHeight="1" thickBot="1" x14ac:dyDescent="0.3"/>
    <row r="19" spans="1:12" ht="18" customHeight="1" x14ac:dyDescent="0.25">
      <c r="A19" s="875" t="s">
        <v>566</v>
      </c>
      <c r="B19" s="876"/>
      <c r="C19" s="876"/>
      <c r="D19" s="876"/>
      <c r="E19" s="876"/>
      <c r="F19" s="876"/>
      <c r="G19" s="876"/>
      <c r="H19" s="876"/>
      <c r="I19" s="876"/>
      <c r="J19" s="876"/>
      <c r="K19" s="876"/>
      <c r="L19" s="877"/>
    </row>
    <row r="20" spans="1:12" ht="12.15" customHeight="1" thickBot="1" x14ac:dyDescent="0.35">
      <c r="A20" s="10"/>
      <c r="D20" s="16"/>
      <c r="L20" s="17"/>
    </row>
    <row r="21" spans="1:12" ht="12.15" customHeight="1" thickBot="1" x14ac:dyDescent="0.3">
      <c r="A21" s="12" t="s">
        <v>453</v>
      </c>
      <c r="B21" s="2"/>
      <c r="C21" t="s">
        <v>476</v>
      </c>
      <c r="J21" s="8">
        <f>'Maximum Rates'!D5</f>
        <v>122</v>
      </c>
      <c r="K21" s="551">
        <v>10</v>
      </c>
      <c r="L21" s="11">
        <f>(J21*K21)</f>
        <v>1220</v>
      </c>
    </row>
    <row r="22" spans="1:12" ht="12.15" customHeight="1" x14ac:dyDescent="0.25">
      <c r="A22" s="10"/>
      <c r="C22" t="s">
        <v>475</v>
      </c>
      <c r="J22" s="8"/>
      <c r="L22" s="11"/>
    </row>
    <row r="23" spans="1:12" ht="12.15" customHeight="1" thickBot="1" x14ac:dyDescent="0.3">
      <c r="A23" s="10"/>
      <c r="C23" t="s">
        <v>22</v>
      </c>
      <c r="J23" s="8"/>
      <c r="L23" s="11"/>
    </row>
    <row r="24" spans="1:12" ht="12.15" customHeight="1" thickBot="1" x14ac:dyDescent="0.3">
      <c r="A24" s="12" t="s">
        <v>454</v>
      </c>
      <c r="B24" s="2"/>
      <c r="C24" t="s">
        <v>442</v>
      </c>
      <c r="J24" s="8">
        <f>'Maximum Rates'!D6</f>
        <v>140</v>
      </c>
      <c r="K24" s="551">
        <v>8</v>
      </c>
      <c r="L24" s="11">
        <f>(J24*K24)</f>
        <v>1120</v>
      </c>
    </row>
    <row r="25" spans="1:12" ht="12.15" customHeight="1" x14ac:dyDescent="0.25">
      <c r="A25" s="10"/>
      <c r="C25" t="s">
        <v>22</v>
      </c>
      <c r="J25" s="8"/>
      <c r="L25" s="11"/>
    </row>
    <row r="26" spans="1:12" ht="12.15" customHeight="1" thickBot="1" x14ac:dyDescent="0.3">
      <c r="A26" s="10"/>
      <c r="J26" s="8"/>
      <c r="L26" s="11"/>
    </row>
    <row r="27" spans="1:12" ht="12.15" customHeight="1" thickBot="1" x14ac:dyDescent="0.3">
      <c r="A27" s="12" t="s">
        <v>455</v>
      </c>
      <c r="B27" s="2"/>
      <c r="C27" t="s">
        <v>565</v>
      </c>
      <c r="J27" s="8">
        <f>'Maximum Rates'!D7</f>
        <v>102</v>
      </c>
      <c r="K27" s="551">
        <v>4</v>
      </c>
      <c r="L27" s="11">
        <f>(J27*K27)</f>
        <v>408</v>
      </c>
    </row>
    <row r="28" spans="1:12" ht="12.15" customHeight="1" x14ac:dyDescent="0.25">
      <c r="A28" s="12" t="s">
        <v>218</v>
      </c>
      <c r="B28" s="2"/>
      <c r="C28" t="s">
        <v>22</v>
      </c>
      <c r="J28" s="8"/>
      <c r="L28" s="11"/>
    </row>
    <row r="29" spans="1:12" ht="12.15" customHeight="1" thickBot="1" x14ac:dyDescent="0.3">
      <c r="A29" s="10"/>
      <c r="J29" s="8"/>
      <c r="L29" s="11"/>
    </row>
    <row r="30" spans="1:12" ht="12.15" customHeight="1" thickBot="1" x14ac:dyDescent="0.3">
      <c r="A30" s="12" t="s">
        <v>456</v>
      </c>
      <c r="B30" s="2"/>
      <c r="C30" t="s">
        <v>367</v>
      </c>
      <c r="J30" s="8">
        <f>'Maximum Rates'!D10</f>
        <v>74</v>
      </c>
      <c r="K30" s="551">
        <v>2</v>
      </c>
      <c r="L30" s="11">
        <f>(J30*K30)</f>
        <v>148</v>
      </c>
    </row>
    <row r="31" spans="1:12" ht="12.15" customHeight="1" x14ac:dyDescent="0.25">
      <c r="A31" s="10"/>
      <c r="C31" t="s">
        <v>397</v>
      </c>
      <c r="J31" s="8"/>
      <c r="L31" s="11"/>
    </row>
    <row r="32" spans="1:12" ht="12.15" customHeight="1" thickBot="1" x14ac:dyDescent="0.3">
      <c r="A32" s="10"/>
      <c r="C32" t="s">
        <v>22</v>
      </c>
      <c r="J32" s="8"/>
      <c r="L32" s="11"/>
    </row>
    <row r="33" spans="1:12" ht="12.15" customHeight="1" thickBot="1" x14ac:dyDescent="0.3">
      <c r="A33" s="12" t="s">
        <v>457</v>
      </c>
      <c r="B33" s="2"/>
      <c r="C33" t="s">
        <v>448</v>
      </c>
      <c r="J33" s="8">
        <f>'Maximum Rates'!D11</f>
        <v>60</v>
      </c>
      <c r="K33" s="551">
        <v>3</v>
      </c>
      <c r="L33" s="11">
        <f>(J33*K33)</f>
        <v>180</v>
      </c>
    </row>
    <row r="34" spans="1:12" ht="12.15" customHeight="1" thickBot="1" x14ac:dyDescent="0.3">
      <c r="A34" s="10"/>
      <c r="C34" t="s">
        <v>22</v>
      </c>
      <c r="L34" s="11"/>
    </row>
    <row r="35" spans="1:12" ht="12.15" customHeight="1" thickBot="1" x14ac:dyDescent="0.3">
      <c r="A35" s="13"/>
      <c r="B35" s="14"/>
      <c r="C35" s="14"/>
      <c r="D35" s="14"/>
      <c r="E35" s="14"/>
      <c r="F35" s="516"/>
      <c r="G35" s="563" t="s">
        <v>377</v>
      </c>
      <c r="H35" s="564"/>
      <c r="I35" s="564"/>
      <c r="J35" s="564"/>
      <c r="K35" s="548"/>
      <c r="L35" s="6">
        <f>SUM(L21:L34)</f>
        <v>3076</v>
      </c>
    </row>
    <row r="36" spans="1:12" ht="12.15" customHeight="1" thickBot="1" x14ac:dyDescent="0.3">
      <c r="A36" s="29"/>
      <c r="G36" s="7"/>
      <c r="H36" s="7"/>
      <c r="I36" s="7"/>
      <c r="J36" s="7"/>
      <c r="K36" s="553"/>
      <c r="L36" s="42"/>
    </row>
    <row r="37" spans="1:12" ht="18" customHeight="1" x14ac:dyDescent="0.25">
      <c r="A37" s="875" t="s">
        <v>601</v>
      </c>
      <c r="B37" s="876"/>
      <c r="C37" s="876"/>
      <c r="D37" s="876"/>
      <c r="E37" s="876"/>
      <c r="F37" s="876"/>
      <c r="G37" s="876"/>
      <c r="H37" s="876"/>
      <c r="I37" s="876"/>
      <c r="J37" s="876"/>
      <c r="K37" s="876"/>
      <c r="L37" s="877"/>
    </row>
    <row r="38" spans="1:12" ht="12.15" customHeight="1" thickBot="1" x14ac:dyDescent="0.35">
      <c r="A38" s="10"/>
      <c r="D38" s="16"/>
      <c r="L38" s="17"/>
    </row>
    <row r="39" spans="1:12" ht="12.15" customHeight="1" thickBot="1" x14ac:dyDescent="0.3">
      <c r="A39" s="12" t="s">
        <v>453</v>
      </c>
      <c r="B39" s="2"/>
      <c r="C39" t="s">
        <v>567</v>
      </c>
      <c r="J39" s="8">
        <f>'Maximum Rates'!D5</f>
        <v>122</v>
      </c>
      <c r="K39" s="551">
        <v>9</v>
      </c>
      <c r="L39" s="11">
        <f>(J39*K39)</f>
        <v>1098</v>
      </c>
    </row>
    <row r="40" spans="1:12" ht="12.15" customHeight="1" x14ac:dyDescent="0.25">
      <c r="A40" s="10"/>
      <c r="C40" t="s">
        <v>365</v>
      </c>
      <c r="J40" s="8"/>
      <c r="L40" s="11"/>
    </row>
    <row r="41" spans="1:12" ht="12.15" customHeight="1" thickBot="1" x14ac:dyDescent="0.3">
      <c r="A41" s="10"/>
      <c r="C41" t="s">
        <v>22</v>
      </c>
      <c r="J41" s="8"/>
      <c r="L41" s="11"/>
    </row>
    <row r="42" spans="1:12" ht="12.15" customHeight="1" thickBot="1" x14ac:dyDescent="0.3">
      <c r="A42" s="12" t="s">
        <v>454</v>
      </c>
      <c r="B42" s="2"/>
      <c r="C42" t="s">
        <v>442</v>
      </c>
      <c r="J42" s="8">
        <f>'Maximum Rates'!D6</f>
        <v>140</v>
      </c>
      <c r="K42" s="551">
        <v>1</v>
      </c>
      <c r="L42" s="11">
        <f>(J42*K42)</f>
        <v>140</v>
      </c>
    </row>
    <row r="43" spans="1:12" ht="12.15" customHeight="1" x14ac:dyDescent="0.25">
      <c r="A43" s="10"/>
      <c r="C43" t="s">
        <v>22</v>
      </c>
      <c r="J43" s="8"/>
      <c r="L43" s="11"/>
    </row>
    <row r="44" spans="1:12" ht="12.15" customHeight="1" thickBot="1" x14ac:dyDescent="0.3">
      <c r="A44" s="10"/>
      <c r="J44" s="8"/>
      <c r="L44" s="11"/>
    </row>
    <row r="45" spans="1:12" ht="12.15" customHeight="1" thickBot="1" x14ac:dyDescent="0.3">
      <c r="A45" s="12" t="s">
        <v>455</v>
      </c>
      <c r="B45" s="2"/>
      <c r="C45" t="s">
        <v>366</v>
      </c>
      <c r="J45" s="8">
        <f>'Maximum Rates'!D7</f>
        <v>102</v>
      </c>
      <c r="K45" s="551">
        <v>0</v>
      </c>
      <c r="L45" s="11">
        <f>(J45*K45)</f>
        <v>0</v>
      </c>
    </row>
    <row r="46" spans="1:12" ht="12.15" customHeight="1" x14ac:dyDescent="0.25">
      <c r="A46" s="12" t="s">
        <v>218</v>
      </c>
      <c r="B46" s="2"/>
      <c r="C46" t="s">
        <v>22</v>
      </c>
      <c r="J46" s="8"/>
      <c r="L46" s="11"/>
    </row>
    <row r="47" spans="1:12" ht="12.15" customHeight="1" thickBot="1" x14ac:dyDescent="0.3">
      <c r="A47" s="10"/>
      <c r="J47" s="8"/>
      <c r="L47" s="11"/>
    </row>
    <row r="48" spans="1:12" ht="12.15" customHeight="1" thickBot="1" x14ac:dyDescent="0.3">
      <c r="A48" s="12" t="s">
        <v>456</v>
      </c>
      <c r="B48" s="2"/>
      <c r="C48" t="s">
        <v>367</v>
      </c>
      <c r="J48" s="8">
        <f>'Maximum Rates'!D10</f>
        <v>74</v>
      </c>
      <c r="K48" s="551">
        <v>0</v>
      </c>
      <c r="L48" s="11">
        <f>(J48*K48)</f>
        <v>0</v>
      </c>
    </row>
    <row r="49" spans="1:12" ht="12.15" customHeight="1" x14ac:dyDescent="0.25">
      <c r="A49" s="10"/>
      <c r="C49" t="s">
        <v>397</v>
      </c>
      <c r="J49" s="8"/>
      <c r="L49" s="11"/>
    </row>
    <row r="50" spans="1:12" ht="12.15" customHeight="1" thickBot="1" x14ac:dyDescent="0.3">
      <c r="A50" s="10"/>
      <c r="C50" t="s">
        <v>22</v>
      </c>
      <c r="J50" s="8"/>
      <c r="L50" s="11"/>
    </row>
    <row r="51" spans="1:12" ht="12.15" customHeight="1" thickBot="1" x14ac:dyDescent="0.3">
      <c r="A51" s="12" t="s">
        <v>457</v>
      </c>
      <c r="B51" s="2"/>
      <c r="C51" t="s">
        <v>568</v>
      </c>
      <c r="J51" s="8">
        <f>'Maximum Rates'!D11</f>
        <v>60</v>
      </c>
      <c r="K51" s="551">
        <v>5</v>
      </c>
      <c r="L51" s="11">
        <f>(J51*K51)</f>
        <v>300</v>
      </c>
    </row>
    <row r="52" spans="1:12" ht="12.15" customHeight="1" thickBot="1" x14ac:dyDescent="0.3">
      <c r="A52" s="10"/>
      <c r="C52" t="s">
        <v>22</v>
      </c>
      <c r="L52" s="11"/>
    </row>
    <row r="53" spans="1:12" ht="12.15" customHeight="1" thickBot="1" x14ac:dyDescent="0.3">
      <c r="A53" s="13"/>
      <c r="B53" s="14"/>
      <c r="C53" s="14"/>
      <c r="D53" s="14"/>
      <c r="E53" s="14"/>
      <c r="F53" s="942" t="s">
        <v>602</v>
      </c>
      <c r="G53" s="564"/>
      <c r="H53" s="564"/>
      <c r="I53" s="564"/>
      <c r="J53" s="564"/>
      <c r="K53" s="548"/>
      <c r="L53" s="6">
        <f>SUM(L39:L52)</f>
        <v>1538</v>
      </c>
    </row>
    <row r="54" spans="1:12" ht="12.15" customHeight="1" x14ac:dyDescent="0.25">
      <c r="F54"/>
      <c r="K54"/>
    </row>
    <row r="55" spans="1:12" ht="12.15" customHeight="1" x14ac:dyDescent="0.25">
      <c r="F55"/>
      <c r="K55"/>
    </row>
    <row r="56" spans="1:12" ht="12.15" customHeight="1" x14ac:dyDescent="0.25">
      <c r="F56"/>
      <c r="K56"/>
    </row>
    <row r="57" spans="1:12" ht="12.15" customHeight="1" x14ac:dyDescent="0.25">
      <c r="F57"/>
      <c r="K57"/>
    </row>
    <row r="58" spans="1:12" ht="12.15" customHeight="1" x14ac:dyDescent="0.25">
      <c r="F58"/>
      <c r="K58"/>
    </row>
    <row r="59" spans="1:12" ht="12.15" customHeight="1" x14ac:dyDescent="0.25">
      <c r="F59"/>
      <c r="K59"/>
    </row>
    <row r="60" spans="1:12" ht="12.15" customHeight="1" x14ac:dyDescent="0.25">
      <c r="F60"/>
      <c r="K60"/>
    </row>
    <row r="61" spans="1:12" ht="12.15" customHeight="1" thickBot="1" x14ac:dyDescent="0.3">
      <c r="F61"/>
      <c r="K61"/>
    </row>
    <row r="62" spans="1:12" ht="18" customHeight="1" x14ac:dyDescent="0.25">
      <c r="A62" s="875" t="s">
        <v>569</v>
      </c>
      <c r="B62" s="876"/>
      <c r="C62" s="876"/>
      <c r="D62" s="876"/>
      <c r="E62" s="876"/>
      <c r="F62" s="876"/>
      <c r="G62" s="876"/>
      <c r="H62" s="876"/>
      <c r="I62" s="876"/>
      <c r="J62" s="876"/>
      <c r="K62" s="876"/>
      <c r="L62" s="877"/>
    </row>
    <row r="63" spans="1:12" ht="12.15" customHeight="1" thickBot="1" x14ac:dyDescent="0.35">
      <c r="A63" s="10"/>
      <c r="D63" s="16"/>
      <c r="L63" s="17"/>
    </row>
    <row r="64" spans="1:12" ht="12.15" customHeight="1" thickBot="1" x14ac:dyDescent="0.3">
      <c r="A64" s="12" t="s">
        <v>453</v>
      </c>
      <c r="B64" s="2"/>
      <c r="C64" s="44" t="s">
        <v>1108</v>
      </c>
      <c r="J64" s="8">
        <f>'Maximum Rates'!D5</f>
        <v>122</v>
      </c>
      <c r="K64" s="551">
        <v>26</v>
      </c>
      <c r="L64" s="11">
        <f>(J64*K64)</f>
        <v>3172</v>
      </c>
    </row>
    <row r="65" spans="1:12" ht="12.15" customHeight="1" x14ac:dyDescent="0.25">
      <c r="A65" s="10"/>
      <c r="C65" s="44" t="s">
        <v>1114</v>
      </c>
      <c r="J65" s="8"/>
      <c r="L65" s="11"/>
    </row>
    <row r="66" spans="1:12" ht="12.15" customHeight="1" thickBot="1" x14ac:dyDescent="0.3">
      <c r="A66" s="10"/>
      <c r="C66" t="s">
        <v>22</v>
      </c>
      <c r="J66" s="8"/>
      <c r="L66" s="11"/>
    </row>
    <row r="67" spans="1:12" ht="12.15" customHeight="1" thickBot="1" x14ac:dyDescent="0.3">
      <c r="A67" s="12" t="s">
        <v>454</v>
      </c>
      <c r="B67" s="2"/>
      <c r="C67" t="s">
        <v>442</v>
      </c>
      <c r="J67" s="8">
        <f>'Maximum Rates'!D6</f>
        <v>140</v>
      </c>
      <c r="K67" s="551">
        <v>16</v>
      </c>
      <c r="L67" s="11">
        <f>(J67*K67)</f>
        <v>2240</v>
      </c>
    </row>
    <row r="68" spans="1:12" ht="12.15" customHeight="1" x14ac:dyDescent="0.25">
      <c r="A68" s="10"/>
      <c r="C68" t="s">
        <v>22</v>
      </c>
      <c r="J68" s="8"/>
      <c r="L68" s="11"/>
    </row>
    <row r="69" spans="1:12" ht="12.15" customHeight="1" thickBot="1" x14ac:dyDescent="0.3">
      <c r="A69" s="10"/>
      <c r="J69" s="8"/>
      <c r="L69" s="11"/>
    </row>
    <row r="70" spans="1:12" ht="12.15" customHeight="1" thickBot="1" x14ac:dyDescent="0.3">
      <c r="A70" s="12" t="s">
        <v>455</v>
      </c>
      <c r="B70" s="2"/>
      <c r="C70" s="44" t="s">
        <v>1109</v>
      </c>
      <c r="J70" s="8">
        <f>'Maximum Rates'!D7</f>
        <v>102</v>
      </c>
      <c r="K70" s="551">
        <v>22</v>
      </c>
      <c r="L70" s="11">
        <f>(J70*K70)</f>
        <v>2244</v>
      </c>
    </row>
    <row r="71" spans="1:12" ht="12.15" customHeight="1" x14ac:dyDescent="0.25">
      <c r="A71" s="12" t="s">
        <v>218</v>
      </c>
      <c r="B71" s="2"/>
      <c r="C71" s="44" t="s">
        <v>1115</v>
      </c>
      <c r="J71" s="8"/>
      <c r="L71" s="11"/>
    </row>
    <row r="72" spans="1:12" ht="12.15" customHeight="1" thickBot="1" x14ac:dyDescent="0.3">
      <c r="A72" s="10"/>
      <c r="J72" s="8"/>
      <c r="L72" s="11"/>
    </row>
    <row r="73" spans="1:12" ht="12.15" customHeight="1" thickBot="1" x14ac:dyDescent="0.3">
      <c r="A73" s="12" t="s">
        <v>456</v>
      </c>
      <c r="B73" s="2"/>
      <c r="C73" t="s">
        <v>570</v>
      </c>
      <c r="J73" s="8">
        <f>'Maximum Rates'!D10</f>
        <v>74</v>
      </c>
      <c r="K73" s="551">
        <v>8</v>
      </c>
      <c r="L73" s="11">
        <f>(J73*K73)</f>
        <v>592</v>
      </c>
    </row>
    <row r="74" spans="1:12" ht="12.15" customHeight="1" x14ac:dyDescent="0.25">
      <c r="A74" s="10"/>
      <c r="C74" t="s">
        <v>397</v>
      </c>
      <c r="J74" s="8"/>
      <c r="L74" s="11"/>
    </row>
    <row r="75" spans="1:12" ht="12.15" customHeight="1" thickBot="1" x14ac:dyDescent="0.3">
      <c r="A75" s="10"/>
      <c r="C75" t="s">
        <v>22</v>
      </c>
      <c r="J75" s="8"/>
      <c r="L75" s="11"/>
    </row>
    <row r="76" spans="1:12" ht="12.15" customHeight="1" thickBot="1" x14ac:dyDescent="0.3">
      <c r="A76" s="12" t="s">
        <v>457</v>
      </c>
      <c r="B76" s="2"/>
      <c r="C76" t="s">
        <v>448</v>
      </c>
      <c r="J76" s="8">
        <f>'Maximum Rates'!D11</f>
        <v>60</v>
      </c>
      <c r="K76" s="551">
        <v>10</v>
      </c>
      <c r="L76" s="11">
        <f>(J76*K76)</f>
        <v>600</v>
      </c>
    </row>
    <row r="77" spans="1:12" ht="12.15" customHeight="1" thickBot="1" x14ac:dyDescent="0.3">
      <c r="A77" s="10"/>
      <c r="C77" t="s">
        <v>22</v>
      </c>
      <c r="L77" s="11"/>
    </row>
    <row r="78" spans="1:12" ht="12.15" customHeight="1" thickBot="1" x14ac:dyDescent="0.3">
      <c r="A78" s="13"/>
      <c r="B78" s="14"/>
      <c r="C78" s="14"/>
      <c r="D78" s="14"/>
      <c r="E78" s="14"/>
      <c r="F78" s="516"/>
      <c r="G78" s="563" t="s">
        <v>378</v>
      </c>
      <c r="H78" s="564"/>
      <c r="I78" s="564"/>
      <c r="J78" s="564"/>
      <c r="K78" s="548"/>
      <c r="L78" s="6">
        <f>SUM(L64:L77)</f>
        <v>8848</v>
      </c>
    </row>
    <row r="79" spans="1:12" ht="12.15" customHeight="1" thickBot="1" x14ac:dyDescent="0.3"/>
    <row r="80" spans="1:12" ht="18" customHeight="1" x14ac:dyDescent="0.25">
      <c r="A80" s="875" t="s">
        <v>784</v>
      </c>
      <c r="B80" s="876"/>
      <c r="C80" s="876"/>
      <c r="D80" s="876"/>
      <c r="E80" s="876"/>
      <c r="F80" s="876"/>
      <c r="G80" s="876"/>
      <c r="H80" s="876"/>
      <c r="I80" s="876"/>
      <c r="J80" s="876"/>
      <c r="K80" s="876"/>
      <c r="L80" s="877"/>
    </row>
    <row r="81" spans="1:12" ht="12.15" customHeight="1" thickBot="1" x14ac:dyDescent="0.35">
      <c r="A81" s="10"/>
      <c r="D81" s="16"/>
      <c r="L81" s="17"/>
    </row>
    <row r="82" spans="1:12" ht="12.15" customHeight="1" thickBot="1" x14ac:dyDescent="0.3">
      <c r="A82" s="12" t="s">
        <v>453</v>
      </c>
      <c r="B82" s="2"/>
      <c r="C82" s="44" t="s">
        <v>1045</v>
      </c>
      <c r="J82" s="8">
        <f>'Maximum Rates'!D5</f>
        <v>122</v>
      </c>
      <c r="K82" s="551">
        <v>14</v>
      </c>
      <c r="L82" s="11">
        <f>(J82*K82)</f>
        <v>1708</v>
      </c>
    </row>
    <row r="83" spans="1:12" ht="12.15" customHeight="1" x14ac:dyDescent="0.25">
      <c r="A83" s="10"/>
      <c r="C83" s="44" t="s">
        <v>1116</v>
      </c>
      <c r="J83" s="8"/>
      <c r="L83" s="11"/>
    </row>
    <row r="84" spans="1:12" ht="12.15" customHeight="1" thickBot="1" x14ac:dyDescent="0.3">
      <c r="A84" s="10"/>
      <c r="C84" t="s">
        <v>22</v>
      </c>
      <c r="J84" s="8"/>
      <c r="L84" s="11"/>
    </row>
    <row r="85" spans="1:12" ht="12.15" customHeight="1" thickBot="1" x14ac:dyDescent="0.3">
      <c r="A85" s="12" t="s">
        <v>454</v>
      </c>
      <c r="B85" s="2"/>
      <c r="C85" t="s">
        <v>442</v>
      </c>
      <c r="J85" s="8">
        <f>'Maximum Rates'!D6</f>
        <v>140</v>
      </c>
      <c r="K85" s="551">
        <v>8</v>
      </c>
      <c r="L85" s="11">
        <f>(J85*K85)</f>
        <v>1120</v>
      </c>
    </row>
    <row r="86" spans="1:12" ht="12.15" customHeight="1" x14ac:dyDescent="0.25">
      <c r="A86" s="10"/>
      <c r="C86" t="s">
        <v>22</v>
      </c>
      <c r="J86" s="8"/>
      <c r="L86" s="11"/>
    </row>
    <row r="87" spans="1:12" ht="12.15" customHeight="1" thickBot="1" x14ac:dyDescent="0.3">
      <c r="A87" s="10"/>
      <c r="J87" s="8"/>
      <c r="L87" s="11"/>
    </row>
    <row r="88" spans="1:12" ht="12.15" customHeight="1" thickBot="1" x14ac:dyDescent="0.3">
      <c r="A88" s="12" t="s">
        <v>455</v>
      </c>
      <c r="B88" s="2"/>
      <c r="C88" s="44" t="s">
        <v>1117</v>
      </c>
      <c r="J88" s="8">
        <f>'Maximum Rates'!D7</f>
        <v>102</v>
      </c>
      <c r="K88" s="551">
        <v>22</v>
      </c>
      <c r="L88" s="11">
        <f>(J88*K88)</f>
        <v>2244</v>
      </c>
    </row>
    <row r="89" spans="1:12" ht="12.15" customHeight="1" x14ac:dyDescent="0.25">
      <c r="A89" s="12" t="s">
        <v>218</v>
      </c>
      <c r="B89" s="2"/>
      <c r="C89" t="s">
        <v>22</v>
      </c>
      <c r="J89" s="8"/>
      <c r="L89" s="11"/>
    </row>
    <row r="90" spans="1:12" ht="12.15" customHeight="1" thickBot="1" x14ac:dyDescent="0.3">
      <c r="A90" s="10"/>
      <c r="J90" s="8"/>
      <c r="L90" s="11"/>
    </row>
    <row r="91" spans="1:12" ht="12.15" customHeight="1" thickBot="1" x14ac:dyDescent="0.3">
      <c r="A91" s="12" t="s">
        <v>456</v>
      </c>
      <c r="B91" s="2"/>
      <c r="C91" t="s">
        <v>367</v>
      </c>
      <c r="J91" s="8">
        <f>'Maximum Rates'!D10</f>
        <v>74</v>
      </c>
      <c r="K91" s="551">
        <v>3</v>
      </c>
      <c r="L91" s="11">
        <f>(J91*K91)</f>
        <v>222</v>
      </c>
    </row>
    <row r="92" spans="1:12" ht="12.15" customHeight="1" x14ac:dyDescent="0.25">
      <c r="A92" s="10"/>
      <c r="C92" t="s">
        <v>397</v>
      </c>
      <c r="J92" s="8"/>
      <c r="L92" s="11"/>
    </row>
    <row r="93" spans="1:12" ht="12.15" customHeight="1" thickBot="1" x14ac:dyDescent="0.3">
      <c r="A93" s="10"/>
      <c r="C93" t="s">
        <v>22</v>
      </c>
      <c r="J93" s="8"/>
      <c r="L93" s="11"/>
    </row>
    <row r="94" spans="1:12" ht="12.15" customHeight="1" thickBot="1" x14ac:dyDescent="0.3">
      <c r="A94" s="12" t="s">
        <v>457</v>
      </c>
      <c r="B94" s="2"/>
      <c r="C94" t="s">
        <v>572</v>
      </c>
      <c r="J94" s="8">
        <f>'Maximum Rates'!D11</f>
        <v>60</v>
      </c>
      <c r="K94" s="551">
        <v>8</v>
      </c>
      <c r="L94" s="11">
        <f>(J94*K94)</f>
        <v>480</v>
      </c>
    </row>
    <row r="95" spans="1:12" ht="12.15" customHeight="1" thickBot="1" x14ac:dyDescent="0.3">
      <c r="A95" s="10"/>
      <c r="C95" t="s">
        <v>22</v>
      </c>
      <c r="L95" s="11"/>
    </row>
    <row r="96" spans="1:12" ht="12.15" customHeight="1" thickBot="1" x14ac:dyDescent="0.3">
      <c r="A96" s="13"/>
      <c r="B96" s="14"/>
      <c r="C96" s="14"/>
      <c r="D96" s="14"/>
      <c r="E96" s="14"/>
      <c r="F96" s="610" t="s">
        <v>379</v>
      </c>
      <c r="G96" s="564"/>
      <c r="H96" s="564"/>
      <c r="I96" s="564"/>
      <c r="J96" s="564"/>
      <c r="K96" s="548"/>
      <c r="L96" s="6">
        <f>SUM(L82:L95)</f>
        <v>5774</v>
      </c>
    </row>
    <row r="97" spans="1:12" ht="12.15" customHeight="1" thickBot="1" x14ac:dyDescent="0.3">
      <c r="A97" s="29"/>
      <c r="G97" s="7"/>
      <c r="H97" s="7"/>
      <c r="I97" s="7"/>
      <c r="J97" s="7"/>
      <c r="K97" s="553"/>
      <c r="L97" s="36"/>
    </row>
    <row r="98" spans="1:12" ht="18" customHeight="1" x14ac:dyDescent="0.3">
      <c r="A98" s="856" t="s">
        <v>785</v>
      </c>
      <c r="B98" s="857"/>
      <c r="C98" s="857"/>
      <c r="D98" s="857"/>
      <c r="E98" s="857"/>
      <c r="F98" s="857"/>
      <c r="G98" s="857"/>
      <c r="H98" s="857"/>
      <c r="I98" s="857"/>
      <c r="J98" s="857"/>
      <c r="K98" s="857"/>
      <c r="L98" s="858"/>
    </row>
    <row r="99" spans="1:12" ht="12.15" customHeight="1" thickBot="1" x14ac:dyDescent="0.35">
      <c r="A99" s="10"/>
      <c r="D99" s="16"/>
      <c r="L99" s="17"/>
    </row>
    <row r="100" spans="1:12" ht="12.15" customHeight="1" thickBot="1" x14ac:dyDescent="0.3">
      <c r="A100" s="12" t="s">
        <v>453</v>
      </c>
      <c r="B100" s="2"/>
      <c r="C100" s="44" t="s">
        <v>1045</v>
      </c>
      <c r="J100" s="8">
        <f>'Maximum Rates'!D5</f>
        <v>122</v>
      </c>
      <c r="K100" s="551">
        <v>14</v>
      </c>
      <c r="L100" s="11">
        <f>(J100*K100)</f>
        <v>1708</v>
      </c>
    </row>
    <row r="101" spans="1:12" ht="12.15" customHeight="1" x14ac:dyDescent="0.25">
      <c r="A101" s="10"/>
      <c r="C101" s="44" t="s">
        <v>1118</v>
      </c>
      <c r="J101" s="8"/>
      <c r="L101" s="11"/>
    </row>
    <row r="102" spans="1:12" ht="12.15" customHeight="1" thickBot="1" x14ac:dyDescent="0.3">
      <c r="A102" s="10"/>
      <c r="C102" t="s">
        <v>22</v>
      </c>
      <c r="J102" s="8"/>
      <c r="L102" s="11"/>
    </row>
    <row r="103" spans="1:12" ht="12.15" customHeight="1" thickBot="1" x14ac:dyDescent="0.3">
      <c r="A103" s="12" t="s">
        <v>454</v>
      </c>
      <c r="B103" s="2"/>
      <c r="C103" t="s">
        <v>442</v>
      </c>
      <c r="J103" s="8">
        <f>'Maximum Rates'!D6</f>
        <v>140</v>
      </c>
      <c r="K103" s="551">
        <v>8</v>
      </c>
      <c r="L103" s="11">
        <f>(J103*K103)</f>
        <v>1120</v>
      </c>
    </row>
    <row r="104" spans="1:12" ht="12.15" customHeight="1" x14ac:dyDescent="0.25">
      <c r="A104" s="10"/>
      <c r="C104" t="s">
        <v>22</v>
      </c>
      <c r="J104" s="8"/>
      <c r="L104" s="11"/>
    </row>
    <row r="105" spans="1:12" ht="12.15" customHeight="1" thickBot="1" x14ac:dyDescent="0.3">
      <c r="A105" s="10"/>
      <c r="J105" s="8"/>
      <c r="L105" s="11"/>
    </row>
    <row r="106" spans="1:12" ht="12.15" customHeight="1" thickBot="1" x14ac:dyDescent="0.3">
      <c r="A106" s="12" t="s">
        <v>455</v>
      </c>
      <c r="B106" s="2"/>
      <c r="C106" s="44" t="s">
        <v>1046</v>
      </c>
      <c r="J106" s="8">
        <f>'Maximum Rates'!D7</f>
        <v>102</v>
      </c>
      <c r="K106" s="551">
        <v>24</v>
      </c>
      <c r="L106" s="11">
        <f>(J106*K106)</f>
        <v>2448</v>
      </c>
    </row>
    <row r="107" spans="1:12" ht="12.15" customHeight="1" x14ac:dyDescent="0.25">
      <c r="A107" s="12" t="s">
        <v>218</v>
      </c>
      <c r="B107" s="2"/>
      <c r="C107" s="44" t="s">
        <v>1115</v>
      </c>
      <c r="J107" s="8"/>
      <c r="L107" s="11"/>
    </row>
    <row r="108" spans="1:12" ht="12.15" customHeight="1" thickBot="1" x14ac:dyDescent="0.3">
      <c r="A108" s="10"/>
      <c r="J108" s="8"/>
      <c r="L108" s="11"/>
    </row>
    <row r="109" spans="1:12" ht="12.15" customHeight="1" thickBot="1" x14ac:dyDescent="0.3">
      <c r="A109" s="12" t="s">
        <v>456</v>
      </c>
      <c r="B109" s="2"/>
      <c r="C109" t="s">
        <v>367</v>
      </c>
      <c r="J109" s="8">
        <f>'Maximum Rates'!D10</f>
        <v>74</v>
      </c>
      <c r="K109" s="551">
        <v>4</v>
      </c>
      <c r="L109" s="11">
        <f>(J109*K109)</f>
        <v>296</v>
      </c>
    </row>
    <row r="110" spans="1:12" ht="12.15" customHeight="1" x14ac:dyDescent="0.25">
      <c r="A110" s="10"/>
      <c r="C110" t="s">
        <v>397</v>
      </c>
      <c r="J110" s="8"/>
      <c r="L110" s="11"/>
    </row>
    <row r="111" spans="1:12" ht="12.15" customHeight="1" thickBot="1" x14ac:dyDescent="0.3">
      <c r="A111" s="10"/>
      <c r="C111" t="s">
        <v>22</v>
      </c>
      <c r="J111" s="8"/>
      <c r="L111" s="11"/>
    </row>
    <row r="112" spans="1:12" ht="12.15" customHeight="1" thickBot="1" x14ac:dyDescent="0.3">
      <c r="A112" s="12" t="s">
        <v>457</v>
      </c>
      <c r="B112" s="2"/>
      <c r="C112" t="s">
        <v>448</v>
      </c>
      <c r="J112" s="8">
        <f>'Maximum Rates'!D11</f>
        <v>60</v>
      </c>
      <c r="K112" s="551">
        <v>8</v>
      </c>
      <c r="L112" s="11">
        <f>(J112*K112)</f>
        <v>480</v>
      </c>
    </row>
    <row r="113" spans="1:12" ht="12.15" customHeight="1" thickBot="1" x14ac:dyDescent="0.3">
      <c r="A113" s="10"/>
      <c r="C113" t="s">
        <v>22</v>
      </c>
      <c r="L113" s="11"/>
    </row>
    <row r="114" spans="1:12" ht="12.15" customHeight="1" thickBot="1" x14ac:dyDescent="0.3">
      <c r="A114" s="13"/>
      <c r="B114" s="14"/>
      <c r="C114" s="14"/>
      <c r="D114" s="14"/>
      <c r="E114" s="563" t="s">
        <v>391</v>
      </c>
      <c r="F114" s="548"/>
      <c r="G114" s="564"/>
      <c r="H114" s="564"/>
      <c r="I114" s="564"/>
      <c r="J114" s="564"/>
      <c r="K114" s="548"/>
      <c r="L114" s="6">
        <f>SUM(L100:L113)</f>
        <v>6052</v>
      </c>
    </row>
    <row r="115" spans="1:12" ht="12.15" customHeight="1" thickBot="1" x14ac:dyDescent="0.3"/>
    <row r="116" spans="1:12" ht="18" customHeight="1" x14ac:dyDescent="0.3">
      <c r="A116" s="875" t="s">
        <v>786</v>
      </c>
      <c r="B116" s="857"/>
      <c r="C116" s="857"/>
      <c r="D116" s="857"/>
      <c r="E116" s="857"/>
      <c r="F116" s="876"/>
      <c r="G116" s="857"/>
      <c r="H116" s="857"/>
      <c r="I116" s="857"/>
      <c r="J116" s="857"/>
      <c r="K116" s="857"/>
      <c r="L116" s="858"/>
    </row>
    <row r="117" spans="1:12" ht="12.15" customHeight="1" thickBot="1" x14ac:dyDescent="0.35">
      <c r="A117" s="10"/>
      <c r="D117" s="16"/>
      <c r="L117" s="17"/>
    </row>
    <row r="118" spans="1:12" ht="12.15" customHeight="1" thickBot="1" x14ac:dyDescent="0.3">
      <c r="A118" s="12" t="s">
        <v>453</v>
      </c>
      <c r="B118" s="2"/>
      <c r="C118" s="44" t="s">
        <v>1045</v>
      </c>
      <c r="J118" s="8">
        <f>'Maximum Rates'!D5</f>
        <v>122</v>
      </c>
      <c r="K118" s="551">
        <v>12</v>
      </c>
      <c r="L118" s="11">
        <f>(J118*K118)</f>
        <v>1464</v>
      </c>
    </row>
    <row r="119" spans="1:12" ht="12.15" customHeight="1" x14ac:dyDescent="0.25">
      <c r="A119" s="10"/>
      <c r="C119" s="44" t="s">
        <v>1119</v>
      </c>
      <c r="J119" s="8"/>
      <c r="L119" s="11"/>
    </row>
    <row r="120" spans="1:12" ht="12.15" customHeight="1" thickBot="1" x14ac:dyDescent="0.3">
      <c r="A120" s="10"/>
      <c r="C120" t="s">
        <v>22</v>
      </c>
      <c r="J120" s="8"/>
      <c r="L120" s="11"/>
    </row>
    <row r="121" spans="1:12" ht="12.15" customHeight="1" thickBot="1" x14ac:dyDescent="0.3">
      <c r="A121" s="12" t="s">
        <v>454</v>
      </c>
      <c r="B121" s="2"/>
      <c r="C121" t="s">
        <v>442</v>
      </c>
      <c r="J121" s="8">
        <f>'Maximum Rates'!D6</f>
        <v>140</v>
      </c>
      <c r="K121" s="551">
        <v>8</v>
      </c>
      <c r="L121" s="11">
        <f>(J121*K121)</f>
        <v>1120</v>
      </c>
    </row>
    <row r="122" spans="1:12" ht="12.15" customHeight="1" x14ac:dyDescent="0.25">
      <c r="A122" s="10"/>
      <c r="C122" t="s">
        <v>22</v>
      </c>
      <c r="J122" s="8"/>
      <c r="L122" s="11"/>
    </row>
    <row r="123" spans="1:12" ht="12.15" customHeight="1" thickBot="1" x14ac:dyDescent="0.3">
      <c r="A123" s="10"/>
      <c r="J123" s="8"/>
      <c r="L123" s="11"/>
    </row>
    <row r="124" spans="1:12" ht="12.15" customHeight="1" thickBot="1" x14ac:dyDescent="0.3">
      <c r="A124" s="12" t="s">
        <v>455</v>
      </c>
      <c r="B124" s="2"/>
      <c r="C124" s="44" t="s">
        <v>1046</v>
      </c>
      <c r="J124" s="8">
        <f>'Maximum Rates'!D7</f>
        <v>102</v>
      </c>
      <c r="K124" s="551">
        <v>18</v>
      </c>
      <c r="L124" s="11">
        <f>(J124*K124)</f>
        <v>1836</v>
      </c>
    </row>
    <row r="125" spans="1:12" ht="12.15" customHeight="1" x14ac:dyDescent="0.25">
      <c r="A125" s="12" t="s">
        <v>218</v>
      </c>
      <c r="B125" s="2"/>
      <c r="C125" s="44" t="s">
        <v>1115</v>
      </c>
      <c r="J125" s="8"/>
      <c r="L125" s="11"/>
    </row>
    <row r="126" spans="1:12" ht="12.15" customHeight="1" thickBot="1" x14ac:dyDescent="0.3">
      <c r="A126" s="10"/>
      <c r="J126" s="8"/>
      <c r="L126" s="11"/>
    </row>
    <row r="127" spans="1:12" ht="12.15" customHeight="1" thickBot="1" x14ac:dyDescent="0.3">
      <c r="A127" s="12" t="s">
        <v>456</v>
      </c>
      <c r="B127" s="2"/>
      <c r="C127" t="s">
        <v>367</v>
      </c>
      <c r="J127" s="8">
        <f>'Maximum Rates'!D10</f>
        <v>74</v>
      </c>
      <c r="K127" s="551">
        <v>3</v>
      </c>
      <c r="L127" s="11">
        <f>(J127*K127)</f>
        <v>222</v>
      </c>
    </row>
    <row r="128" spans="1:12" ht="12.15" customHeight="1" x14ac:dyDescent="0.25">
      <c r="A128" s="10"/>
      <c r="C128" t="s">
        <v>397</v>
      </c>
      <c r="J128" s="8"/>
      <c r="L128" s="11"/>
    </row>
    <row r="129" spans="1:12" ht="12.15" customHeight="1" thickBot="1" x14ac:dyDescent="0.3">
      <c r="A129" s="10"/>
      <c r="C129" t="s">
        <v>22</v>
      </c>
      <c r="J129" s="8"/>
      <c r="L129" s="11"/>
    </row>
    <row r="130" spans="1:12" ht="12.15" customHeight="1" thickBot="1" x14ac:dyDescent="0.3">
      <c r="A130" s="12" t="s">
        <v>457</v>
      </c>
      <c r="B130" s="2"/>
      <c r="C130" t="s">
        <v>574</v>
      </c>
      <c r="J130" s="8">
        <f>'Maximum Rates'!D11</f>
        <v>60</v>
      </c>
      <c r="K130" s="551">
        <v>8</v>
      </c>
      <c r="L130" s="11">
        <f>(J130*K130)</f>
        <v>480</v>
      </c>
    </row>
    <row r="131" spans="1:12" ht="12.15" customHeight="1" thickBot="1" x14ac:dyDescent="0.3">
      <c r="A131" s="10"/>
      <c r="C131" t="s">
        <v>22</v>
      </c>
      <c r="L131" s="11"/>
    </row>
    <row r="132" spans="1:12" ht="12.15" customHeight="1" thickBot="1" x14ac:dyDescent="0.3">
      <c r="A132" s="13"/>
      <c r="B132" s="14"/>
      <c r="C132" s="14"/>
      <c r="D132" s="14"/>
      <c r="E132" s="563" t="s">
        <v>390</v>
      </c>
      <c r="F132" s="548"/>
      <c r="G132" s="564"/>
      <c r="H132" s="564"/>
      <c r="I132" s="564"/>
      <c r="J132" s="564"/>
      <c r="K132" s="548"/>
      <c r="L132" s="6">
        <f>SUM(L118:L131)</f>
        <v>5122</v>
      </c>
    </row>
    <row r="133" spans="1:12" ht="12.15" customHeight="1" thickBot="1" x14ac:dyDescent="0.3"/>
    <row r="134" spans="1:12" ht="18" customHeight="1" x14ac:dyDescent="0.25">
      <c r="A134" s="875" t="s">
        <v>787</v>
      </c>
      <c r="B134" s="876"/>
      <c r="C134" s="876"/>
      <c r="D134" s="876"/>
      <c r="E134" s="876"/>
      <c r="F134" s="876"/>
      <c r="G134" s="876"/>
      <c r="H134" s="876"/>
      <c r="I134" s="876"/>
      <c r="J134" s="876"/>
      <c r="K134" s="876"/>
      <c r="L134" s="877"/>
    </row>
    <row r="135" spans="1:12" ht="12.15" customHeight="1" thickBot="1" x14ac:dyDescent="0.35">
      <c r="A135" s="10"/>
      <c r="D135" s="16"/>
      <c r="L135" s="17"/>
    </row>
    <row r="136" spans="1:12" ht="12.15" customHeight="1" thickBot="1" x14ac:dyDescent="0.3">
      <c r="A136" s="12" t="s">
        <v>453</v>
      </c>
      <c r="B136" s="2"/>
      <c r="C136" s="44" t="s">
        <v>1120</v>
      </c>
      <c r="J136" s="8">
        <f>'Maximum Rates'!D5</f>
        <v>122</v>
      </c>
      <c r="K136" s="551">
        <v>12</v>
      </c>
      <c r="L136" s="11">
        <f>(J136*K136)</f>
        <v>1464</v>
      </c>
    </row>
    <row r="137" spans="1:12" ht="12.15" customHeight="1" x14ac:dyDescent="0.25">
      <c r="A137" s="10"/>
      <c r="C137" t="s">
        <v>571</v>
      </c>
      <c r="J137" s="8"/>
      <c r="L137" s="11"/>
    </row>
    <row r="138" spans="1:12" ht="12.15" customHeight="1" thickBot="1" x14ac:dyDescent="0.3">
      <c r="A138" s="10"/>
      <c r="C138" t="s">
        <v>22</v>
      </c>
      <c r="J138" s="8"/>
      <c r="L138" s="11"/>
    </row>
    <row r="139" spans="1:12" ht="12.15" customHeight="1" thickBot="1" x14ac:dyDescent="0.3">
      <c r="A139" s="12" t="s">
        <v>454</v>
      </c>
      <c r="B139" s="2"/>
      <c r="C139" t="s">
        <v>442</v>
      </c>
      <c r="J139" s="8">
        <f>'Maximum Rates'!D6</f>
        <v>140</v>
      </c>
      <c r="K139" s="551">
        <v>8</v>
      </c>
      <c r="L139" s="11">
        <f>(J139*K139)</f>
        <v>1120</v>
      </c>
    </row>
    <row r="140" spans="1:12" ht="12.15" customHeight="1" x14ac:dyDescent="0.25">
      <c r="A140" s="10"/>
      <c r="C140" t="s">
        <v>22</v>
      </c>
      <c r="J140" s="8"/>
      <c r="L140" s="11"/>
    </row>
    <row r="141" spans="1:12" ht="12.15" customHeight="1" thickBot="1" x14ac:dyDescent="0.3">
      <c r="A141" s="10"/>
      <c r="J141" s="8"/>
      <c r="L141" s="11"/>
    </row>
    <row r="142" spans="1:12" ht="12.15" customHeight="1" thickBot="1" x14ac:dyDescent="0.3">
      <c r="A142" s="12" t="s">
        <v>455</v>
      </c>
      <c r="B142" s="2"/>
      <c r="C142" s="44" t="s">
        <v>1117</v>
      </c>
      <c r="J142" s="8">
        <f>'Maximum Rates'!D7</f>
        <v>102</v>
      </c>
      <c r="K142" s="551">
        <v>20</v>
      </c>
      <c r="L142" s="11">
        <f>(J142*K142)</f>
        <v>2040</v>
      </c>
    </row>
    <row r="143" spans="1:12" ht="12.15" customHeight="1" x14ac:dyDescent="0.25">
      <c r="A143" s="12" t="s">
        <v>218</v>
      </c>
      <c r="B143" s="2"/>
      <c r="C143" t="s">
        <v>22</v>
      </c>
      <c r="J143" s="8"/>
      <c r="L143" s="11"/>
    </row>
    <row r="144" spans="1:12" ht="12.15" customHeight="1" thickBot="1" x14ac:dyDescent="0.3">
      <c r="A144" s="10"/>
      <c r="J144" s="8"/>
      <c r="L144" s="11"/>
    </row>
    <row r="145" spans="1:12" ht="12.15" customHeight="1" thickBot="1" x14ac:dyDescent="0.3">
      <c r="A145" s="12" t="s">
        <v>456</v>
      </c>
      <c r="B145" s="2"/>
      <c r="C145" t="s">
        <v>367</v>
      </c>
      <c r="J145" s="8">
        <f>'Maximum Rates'!D10</f>
        <v>74</v>
      </c>
      <c r="K145" s="551">
        <v>4</v>
      </c>
      <c r="L145" s="11">
        <f>(J145*K145)</f>
        <v>296</v>
      </c>
    </row>
    <row r="146" spans="1:12" ht="12.15" customHeight="1" x14ac:dyDescent="0.25">
      <c r="A146" s="10"/>
      <c r="C146" t="s">
        <v>397</v>
      </c>
      <c r="J146" s="8"/>
      <c r="L146" s="11"/>
    </row>
    <row r="147" spans="1:12" ht="12.15" customHeight="1" thickBot="1" x14ac:dyDescent="0.3">
      <c r="A147" s="10"/>
      <c r="C147" t="s">
        <v>22</v>
      </c>
      <c r="J147" s="8"/>
      <c r="L147" s="11"/>
    </row>
    <row r="148" spans="1:12" ht="12.15" customHeight="1" thickBot="1" x14ac:dyDescent="0.3">
      <c r="A148" s="12" t="s">
        <v>457</v>
      </c>
      <c r="B148" s="2"/>
      <c r="C148" t="s">
        <v>574</v>
      </c>
      <c r="J148" s="8">
        <f>'Maximum Rates'!D11</f>
        <v>60</v>
      </c>
      <c r="K148" s="551">
        <v>8</v>
      </c>
      <c r="L148" s="11">
        <f>(J148*K148)</f>
        <v>480</v>
      </c>
    </row>
    <row r="149" spans="1:12" ht="12.15" customHeight="1" thickBot="1" x14ac:dyDescent="0.3">
      <c r="A149" s="10"/>
      <c r="C149" t="s">
        <v>22</v>
      </c>
      <c r="L149" s="11"/>
    </row>
    <row r="150" spans="1:12" ht="12.15" customHeight="1" thickBot="1" x14ac:dyDescent="0.3">
      <c r="A150" s="13"/>
      <c r="B150" s="14"/>
      <c r="C150" s="14"/>
      <c r="D150" s="14"/>
      <c r="E150" s="563" t="s">
        <v>348</v>
      </c>
      <c r="F150" s="548"/>
      <c r="G150" s="564"/>
      <c r="H150" s="564"/>
      <c r="I150" s="564"/>
      <c r="J150" s="564"/>
      <c r="K150" s="548"/>
      <c r="L150" s="6">
        <f>SUM(L136:L149)</f>
        <v>5400</v>
      </c>
    </row>
    <row r="151" spans="1:12" ht="12.15" customHeight="1" thickBot="1" x14ac:dyDescent="0.3">
      <c r="D151" s="29"/>
    </row>
    <row r="152" spans="1:12" ht="12.15" customHeight="1" thickBot="1" x14ac:dyDescent="0.3">
      <c r="A152" s="20" t="s">
        <v>469</v>
      </c>
      <c r="B152" s="21"/>
      <c r="C152" s="21"/>
      <c r="D152" s="15"/>
      <c r="E152" s="563" t="s">
        <v>219</v>
      </c>
      <c r="F152" s="548"/>
      <c r="G152" s="564"/>
      <c r="H152" s="564"/>
      <c r="I152" s="564"/>
      <c r="J152" s="564"/>
      <c r="K152" s="548"/>
      <c r="L152" s="5">
        <f>SUM(D153+G153)</f>
        <v>44</v>
      </c>
    </row>
    <row r="153" spans="1:12" ht="12.15" customHeight="1" thickBot="1" x14ac:dyDescent="0.3">
      <c r="A153" s="566" t="s">
        <v>608</v>
      </c>
      <c r="B153" s="567"/>
      <c r="C153" s="551">
        <v>0.25</v>
      </c>
      <c r="D153" s="571">
        <f>(C153)*('Maximum Rates'!$D$7)</f>
        <v>25.5</v>
      </c>
      <c r="E153" s="558" t="s">
        <v>444</v>
      </c>
      <c r="F153" s="554">
        <v>0.25</v>
      </c>
      <c r="G153" s="19">
        <f>(F153)*('Maximum Rates'!$D$10)</f>
        <v>18.5</v>
      </c>
      <c r="H153" s="19"/>
      <c r="I153" s="437"/>
      <c r="J153" s="23"/>
      <c r="K153" s="608"/>
      <c r="L153" s="63"/>
    </row>
    <row r="154" spans="1:12" ht="12.15" customHeight="1" thickBot="1" x14ac:dyDescent="0.3">
      <c r="J154" s="24"/>
      <c r="K154" s="608"/>
      <c r="L154" s="29"/>
    </row>
    <row r="155" spans="1:12" ht="12.15" customHeight="1" thickBot="1" x14ac:dyDescent="0.3">
      <c r="A155" s="20" t="s">
        <v>578</v>
      </c>
      <c r="B155" s="21"/>
      <c r="C155" s="21"/>
      <c r="D155" s="7"/>
      <c r="E155" s="563" t="s">
        <v>579</v>
      </c>
      <c r="F155" s="548"/>
      <c r="G155" s="564"/>
      <c r="H155" s="564"/>
      <c r="I155" s="564"/>
      <c r="J155" s="564"/>
      <c r="K155" s="548"/>
      <c r="L155" s="5">
        <f>SUM(D156+G156)</f>
        <v>52.8</v>
      </c>
    </row>
    <row r="156" spans="1:12" ht="12.15" customHeight="1" thickBot="1" x14ac:dyDescent="0.3">
      <c r="A156" s="566" t="s">
        <v>608</v>
      </c>
      <c r="B156" s="567"/>
      <c r="C156" s="551">
        <v>0.3</v>
      </c>
      <c r="D156" s="571">
        <f>(C156)*('Maximum Rates'!$D$7)</f>
        <v>30.599999999999998</v>
      </c>
      <c r="E156" s="558" t="s">
        <v>444</v>
      </c>
      <c r="F156" s="554">
        <v>0.3</v>
      </c>
      <c r="G156" s="19">
        <f>(F156)*('Maximum Rates'!$D$10)</f>
        <v>22.2</v>
      </c>
      <c r="H156" s="19"/>
      <c r="I156" s="437"/>
      <c r="J156" s="41"/>
      <c r="K156" s="516"/>
      <c r="L156" s="63"/>
    </row>
    <row r="157" spans="1:12" ht="12.15" customHeight="1" x14ac:dyDescent="0.25"/>
    <row r="158" spans="1:12" ht="12.15" customHeight="1" x14ac:dyDescent="0.25"/>
    <row r="159" spans="1:12" ht="12.15" customHeight="1" x14ac:dyDescent="0.25"/>
    <row r="160" spans="1:12" ht="12.15" customHeight="1" x14ac:dyDescent="0.25"/>
    <row r="161" ht="12.15" customHeight="1" x14ac:dyDescent="0.25"/>
    <row r="162" ht="12.15" customHeight="1" x14ac:dyDescent="0.25"/>
    <row r="163" ht="12.15" customHeight="1" x14ac:dyDescent="0.25"/>
    <row r="164" ht="12.15" customHeight="1" x14ac:dyDescent="0.25"/>
    <row r="165" ht="12.15" customHeight="1" x14ac:dyDescent="0.25"/>
    <row r="166" ht="12.15" customHeight="1" x14ac:dyDescent="0.25"/>
    <row r="167" ht="12.15" customHeight="1" x14ac:dyDescent="0.25"/>
    <row r="168" ht="12.15" customHeight="1" x14ac:dyDescent="0.25"/>
    <row r="169" ht="12.15" customHeight="1" x14ac:dyDescent="0.25"/>
    <row r="170" ht="12.15" customHeight="1" x14ac:dyDescent="0.25"/>
    <row r="171" ht="12.15" customHeight="1" x14ac:dyDescent="0.25"/>
    <row r="172" ht="12.15" customHeight="1" x14ac:dyDescent="0.25"/>
    <row r="173" ht="12.15" customHeight="1" x14ac:dyDescent="0.25"/>
    <row r="174" ht="12.15" customHeight="1" x14ac:dyDescent="0.25"/>
    <row r="175" ht="12.15" customHeight="1" x14ac:dyDescent="0.25"/>
    <row r="176" ht="12.15" customHeight="1" x14ac:dyDescent="0.25"/>
    <row r="177" ht="12.15" customHeight="1" x14ac:dyDescent="0.25"/>
    <row r="178" ht="12.15" customHeight="1" x14ac:dyDescent="0.25"/>
    <row r="179" ht="12.15" customHeight="1" x14ac:dyDescent="0.25"/>
    <row r="180" ht="12.15" customHeight="1" x14ac:dyDescent="0.25"/>
    <row r="181" ht="12.15" customHeight="1" x14ac:dyDescent="0.25"/>
    <row r="182" ht="12.15" customHeight="1" x14ac:dyDescent="0.25"/>
    <row r="183" ht="12.15" customHeight="1" x14ac:dyDescent="0.25"/>
    <row r="184" ht="12.15" customHeight="1" x14ac:dyDescent="0.25"/>
    <row r="185" ht="12.15" customHeight="1" x14ac:dyDescent="0.25"/>
    <row r="186" ht="12.15" customHeight="1" x14ac:dyDescent="0.25"/>
    <row r="187" ht="12.15" customHeight="1" x14ac:dyDescent="0.25"/>
    <row r="188" ht="12.15" customHeight="1" x14ac:dyDescent="0.25"/>
    <row r="189" ht="12.15" customHeight="1" x14ac:dyDescent="0.25"/>
    <row r="190" ht="12.15" customHeight="1" x14ac:dyDescent="0.25"/>
    <row r="191" ht="12.15" customHeight="1" x14ac:dyDescent="0.25"/>
    <row r="192" ht="12.15" customHeight="1" x14ac:dyDescent="0.25"/>
    <row r="193" ht="12.15" customHeight="1" x14ac:dyDescent="0.25"/>
    <row r="194" ht="12.15" customHeight="1" x14ac:dyDescent="0.25"/>
    <row r="195" ht="12.15" customHeight="1" x14ac:dyDescent="0.25"/>
    <row r="196" ht="12.15" customHeight="1" x14ac:dyDescent="0.25"/>
    <row r="197" ht="12.15" customHeight="1" x14ac:dyDescent="0.25"/>
    <row r="198" ht="12.15" customHeight="1" x14ac:dyDescent="0.25"/>
    <row r="199" ht="12.15" customHeight="1" x14ac:dyDescent="0.25"/>
    <row r="200" ht="12.15" customHeight="1" x14ac:dyDescent="0.25"/>
    <row r="201" ht="12.15" customHeight="1" x14ac:dyDescent="0.25"/>
    <row r="202" ht="12.15" customHeight="1" x14ac:dyDescent="0.25"/>
    <row r="203" ht="12.15" customHeight="1" x14ac:dyDescent="0.25"/>
    <row r="204" ht="12.15" customHeight="1" x14ac:dyDescent="0.25"/>
    <row r="205" ht="12.15" customHeight="1" x14ac:dyDescent="0.25"/>
    <row r="206" ht="12.15" customHeight="1" x14ac:dyDescent="0.25"/>
    <row r="207" ht="12.15" customHeight="1" x14ac:dyDescent="0.25"/>
    <row r="208" ht="12.15" customHeight="1" x14ac:dyDescent="0.25"/>
    <row r="209" ht="12.15" customHeight="1" x14ac:dyDescent="0.25"/>
    <row r="210" ht="12.15" customHeight="1" x14ac:dyDescent="0.25"/>
    <row r="211" ht="12.15" customHeight="1" x14ac:dyDescent="0.25"/>
    <row r="212" ht="12.15" customHeight="1" x14ac:dyDescent="0.25"/>
    <row r="213" ht="12.15" customHeight="1" x14ac:dyDescent="0.25"/>
    <row r="214" ht="12.15" customHeight="1" x14ac:dyDescent="0.25"/>
    <row r="215" ht="12.15" customHeight="1" x14ac:dyDescent="0.25"/>
    <row r="216" ht="12.15" customHeight="1" x14ac:dyDescent="0.25"/>
    <row r="217" ht="12.15" customHeight="1" x14ac:dyDescent="0.25"/>
    <row r="218" ht="12.15" customHeight="1" x14ac:dyDescent="0.25"/>
    <row r="219" ht="12.15" customHeight="1" x14ac:dyDescent="0.25"/>
    <row r="220" ht="12.15" customHeight="1" x14ac:dyDescent="0.25"/>
    <row r="221" ht="12.15" customHeight="1" x14ac:dyDescent="0.25"/>
    <row r="222" ht="12.15" customHeight="1" x14ac:dyDescent="0.25"/>
    <row r="223" ht="12.15" customHeight="1" x14ac:dyDescent="0.25"/>
    <row r="224" ht="12.15" customHeight="1" x14ac:dyDescent="0.25"/>
    <row r="225" ht="12.15" customHeight="1" x14ac:dyDescent="0.25"/>
    <row r="226" ht="12.15" customHeight="1" x14ac:dyDescent="0.25"/>
    <row r="227" ht="12.15" customHeight="1" x14ac:dyDescent="0.25"/>
    <row r="228" ht="12.15" customHeight="1" x14ac:dyDescent="0.25"/>
    <row r="229" ht="12.15" customHeight="1" x14ac:dyDescent="0.25"/>
    <row r="230" ht="12.15" customHeight="1" x14ac:dyDescent="0.25"/>
    <row r="231" ht="12.15" customHeight="1" x14ac:dyDescent="0.25"/>
    <row r="232" ht="12.15" customHeight="1" x14ac:dyDescent="0.25"/>
    <row r="233" ht="12.15" customHeight="1" x14ac:dyDescent="0.25"/>
    <row r="234" ht="12.15" customHeight="1" x14ac:dyDescent="0.25"/>
    <row r="235" ht="12.15" customHeight="1" x14ac:dyDescent="0.25"/>
    <row r="236" ht="12.15" customHeight="1" x14ac:dyDescent="0.25"/>
    <row r="237" ht="12.15" customHeight="1" x14ac:dyDescent="0.25"/>
    <row r="238" ht="12.15" customHeight="1" x14ac:dyDescent="0.25"/>
    <row r="239" ht="12.15" customHeight="1" x14ac:dyDescent="0.25"/>
    <row r="240" ht="12.15" customHeight="1" x14ac:dyDescent="0.25"/>
    <row r="241" ht="12.15" customHeight="1" x14ac:dyDescent="0.25"/>
    <row r="242" ht="12.15" customHeight="1" x14ac:dyDescent="0.25"/>
    <row r="243" ht="12.15" customHeight="1" x14ac:dyDescent="0.25"/>
    <row r="244" ht="12.15" customHeight="1" x14ac:dyDescent="0.25"/>
    <row r="245" ht="12.15" customHeight="1" x14ac:dyDescent="0.25"/>
    <row r="246" ht="12.15" customHeight="1" x14ac:dyDescent="0.25"/>
    <row r="247" ht="12.15" customHeight="1" x14ac:dyDescent="0.25"/>
    <row r="248" ht="12.15" customHeight="1" x14ac:dyDescent="0.25"/>
    <row r="249" ht="12.15" customHeight="1" x14ac:dyDescent="0.25"/>
    <row r="250" ht="12.15" customHeight="1" x14ac:dyDescent="0.25"/>
    <row r="251" ht="12.15" customHeight="1" x14ac:dyDescent="0.25"/>
  </sheetData>
  <sheetProtection password="DC01" sheet="1" objects="1" scenarios="1" selectLockedCells="1"/>
  <customSheetViews>
    <customSheetView guid="{BC429C65-53B8-4F97-88D2-74ECCD734800}" scale="90" showGridLines="0" showRowCol="0" state="hidden">
      <selection activeCell="L6" sqref="L6"/>
      <rowBreaks count="2" manualBreakCount="2">
        <brk id="56" min="1" max="11" man="1"/>
        <brk id="111" min="1" max="11" man="1"/>
      </rowBreaks>
      <pageMargins left="0.25" right="0.25" top="1" bottom="0.25" header="0.5" footer="0.5"/>
      <printOptions horizontalCentered="1"/>
      <pageSetup scale="89" orientation="portrait" horizontalDpi="4294967292" verticalDpi="4294967292" r:id="rId1"/>
      <headerFooter alignWithMargins="0"/>
    </customSheetView>
  </customSheetViews>
  <phoneticPr fontId="7" type="noConversion"/>
  <printOptions horizontalCentered="1"/>
  <pageMargins left="0.25" right="0.25" top="0.75" bottom="0.25" header="0.17" footer="0.5"/>
  <pageSetup orientation="portrait" r:id="rId2"/>
  <headerFooter alignWithMargins="0">
    <oddHeader>&amp;C&amp;18Units For CAP Reports</oddHeader>
  </headerFooter>
  <rowBreaks count="1" manualBreakCount="1">
    <brk id="11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tabColor theme="3" tint="0.79998168889431442"/>
  </sheetPr>
  <dimension ref="A1:M245"/>
  <sheetViews>
    <sheetView showGridLines="0" showRowColHeaders="0" showRuler="0" view="pageLayout" zoomScaleNormal="90" workbookViewId="0">
      <selection activeCell="E8" sqref="E8:I10"/>
    </sheetView>
  </sheetViews>
  <sheetFormatPr defaultColWidth="7.44140625" defaultRowHeight="13.2" x14ac:dyDescent="0.25"/>
  <cols>
    <col min="1" max="8" width="8.5546875" customWidth="1"/>
    <col min="9" max="9" width="6.44140625" customWidth="1"/>
    <col min="10" max="10" width="8.5546875" customWidth="1"/>
    <col min="11" max="11" width="8.5546875" style="546" customWidth="1"/>
    <col min="12" max="12" width="9.6640625" customWidth="1"/>
    <col min="13" max="13" width="8.5546875" customWidth="1"/>
  </cols>
  <sheetData>
    <row r="1" spans="1:13" ht="18" customHeight="1" x14ac:dyDescent="0.25">
      <c r="A1" s="875" t="s">
        <v>1163</v>
      </c>
      <c r="B1" s="876"/>
      <c r="C1" s="876"/>
      <c r="D1" s="876"/>
      <c r="E1" s="876"/>
      <c r="F1" s="876"/>
      <c r="G1" s="876"/>
      <c r="H1" s="876"/>
      <c r="I1" s="876"/>
      <c r="J1" s="876"/>
      <c r="K1" s="876"/>
      <c r="L1" s="877"/>
    </row>
    <row r="2" spans="1:13" ht="12.15" customHeight="1" thickBot="1" x14ac:dyDescent="0.45">
      <c r="A2" s="10"/>
      <c r="D2" s="16"/>
      <c r="L2" s="17"/>
      <c r="M2" s="592"/>
    </row>
    <row r="3" spans="1:13" ht="12.15" customHeight="1" thickBot="1" x14ac:dyDescent="0.3">
      <c r="A3" s="12" t="s">
        <v>453</v>
      </c>
      <c r="B3" s="2"/>
      <c r="C3" t="s">
        <v>1</v>
      </c>
      <c r="J3" s="8">
        <f>'Maximum Rates'!D5</f>
        <v>122</v>
      </c>
      <c r="K3" s="602">
        <v>1</v>
      </c>
      <c r="L3" s="11">
        <f>(J3*K3)</f>
        <v>122</v>
      </c>
    </row>
    <row r="4" spans="1:13" ht="12.15" customHeight="1" x14ac:dyDescent="0.25">
      <c r="A4" s="10"/>
      <c r="J4" s="8"/>
      <c r="L4" s="11"/>
    </row>
    <row r="5" spans="1:13" ht="12.15" customHeight="1" thickBot="1" x14ac:dyDescent="0.3">
      <c r="A5" s="10"/>
      <c r="C5" t="s">
        <v>22</v>
      </c>
      <c r="J5" s="8"/>
      <c r="L5" s="11"/>
    </row>
    <row r="6" spans="1:13" ht="12.15" customHeight="1" thickBot="1" x14ac:dyDescent="0.3">
      <c r="A6" s="12" t="s">
        <v>454</v>
      </c>
      <c r="B6" s="2"/>
      <c r="C6" t="s">
        <v>502</v>
      </c>
      <c r="J6" s="8">
        <f>'Maximum Rates'!D6</f>
        <v>140</v>
      </c>
      <c r="K6" s="602">
        <v>0.5</v>
      </c>
      <c r="L6" s="11">
        <f>(J6*K6)</f>
        <v>70</v>
      </c>
    </row>
    <row r="7" spans="1:13" ht="12.15" customHeight="1" x14ac:dyDescent="0.25">
      <c r="A7" s="10"/>
      <c r="C7" t="s">
        <v>22</v>
      </c>
      <c r="J7" s="8"/>
      <c r="L7" s="11"/>
    </row>
    <row r="8" spans="1:13" ht="12.15" customHeight="1" thickBot="1" x14ac:dyDescent="0.3">
      <c r="A8" s="10"/>
      <c r="J8" s="8"/>
      <c r="L8" s="11"/>
    </row>
    <row r="9" spans="1:13" ht="12.15" customHeight="1" thickBot="1" x14ac:dyDescent="0.3">
      <c r="A9" s="12" t="s">
        <v>455</v>
      </c>
      <c r="B9" s="2"/>
      <c r="C9" t="s">
        <v>598</v>
      </c>
      <c r="J9" s="8">
        <f>'Maximum Rates'!D7</f>
        <v>102</v>
      </c>
      <c r="K9" s="602">
        <v>2</v>
      </c>
      <c r="L9" s="11">
        <f>(J9*K9)</f>
        <v>204</v>
      </c>
    </row>
    <row r="10" spans="1:13" ht="12.15" customHeight="1" x14ac:dyDescent="0.25">
      <c r="A10" s="12" t="s">
        <v>218</v>
      </c>
      <c r="B10" s="2"/>
      <c r="C10" t="s">
        <v>22</v>
      </c>
      <c r="J10" s="8"/>
      <c r="L10" s="11"/>
    </row>
    <row r="11" spans="1:13" ht="12.15" customHeight="1" thickBot="1" x14ac:dyDescent="0.3">
      <c r="A11" s="10"/>
      <c r="J11" s="8"/>
      <c r="L11" s="11"/>
    </row>
    <row r="12" spans="1:13" ht="12.15" customHeight="1" thickBot="1" x14ac:dyDescent="0.3">
      <c r="A12" s="12" t="s">
        <v>456</v>
      </c>
      <c r="B12" s="2"/>
      <c r="J12" s="8">
        <f>'Maximum Rates'!D10</f>
        <v>74</v>
      </c>
      <c r="K12" s="602">
        <v>0</v>
      </c>
      <c r="L12" s="11">
        <f>(J12*K12)</f>
        <v>0</v>
      </c>
    </row>
    <row r="13" spans="1:13" ht="12.15" customHeight="1" x14ac:dyDescent="0.25">
      <c r="A13" s="10"/>
      <c r="J13" s="8"/>
      <c r="L13" s="11"/>
    </row>
    <row r="14" spans="1:13" ht="12.15" customHeight="1" thickBot="1" x14ac:dyDescent="0.3">
      <c r="A14" s="10"/>
      <c r="J14" s="8"/>
      <c r="L14" s="11"/>
    </row>
    <row r="15" spans="1:13" ht="12.15" customHeight="1" thickBot="1" x14ac:dyDescent="0.3">
      <c r="A15" s="12" t="s">
        <v>457</v>
      </c>
      <c r="B15" s="2"/>
      <c r="C15" t="s">
        <v>448</v>
      </c>
      <c r="J15" s="8">
        <f>'Maximum Rates'!D11</f>
        <v>60</v>
      </c>
      <c r="K15" s="602">
        <v>2</v>
      </c>
      <c r="L15" s="11">
        <f>(J15*K15)</f>
        <v>120</v>
      </c>
    </row>
    <row r="16" spans="1:13" ht="12.15" customHeight="1" thickBot="1" x14ac:dyDescent="0.3">
      <c r="A16" s="10"/>
      <c r="C16" t="s">
        <v>22</v>
      </c>
      <c r="L16" s="11"/>
    </row>
    <row r="17" spans="1:12" ht="12.15" customHeight="1" thickBot="1" x14ac:dyDescent="0.3">
      <c r="A17" s="13"/>
      <c r="B17" s="14"/>
      <c r="C17" s="14"/>
      <c r="D17" s="14"/>
      <c r="E17" s="563" t="s">
        <v>349</v>
      </c>
      <c r="F17" s="564"/>
      <c r="G17" s="564"/>
      <c r="H17" s="564"/>
      <c r="I17" s="564"/>
      <c r="J17" s="564"/>
      <c r="K17" s="548"/>
      <c r="L17" s="6">
        <f>SUM(L3:L16)</f>
        <v>516</v>
      </c>
    </row>
    <row r="18" spans="1:12" ht="12.15" customHeight="1" thickBot="1" x14ac:dyDescent="0.3">
      <c r="A18" s="29"/>
    </row>
    <row r="19" spans="1:12" ht="18" customHeight="1" x14ac:dyDescent="0.3">
      <c r="A19" s="875" t="s">
        <v>350</v>
      </c>
      <c r="B19" s="857"/>
      <c r="C19" s="857"/>
      <c r="D19" s="857"/>
      <c r="E19" s="857"/>
      <c r="F19" s="857"/>
      <c r="G19" s="857"/>
      <c r="H19" s="857"/>
      <c r="I19" s="857"/>
      <c r="J19" s="857"/>
      <c r="K19" s="857"/>
      <c r="L19" s="858"/>
    </row>
    <row r="20" spans="1:12" ht="12.15" customHeight="1" thickBot="1" x14ac:dyDescent="0.35">
      <c r="A20" s="10"/>
      <c r="D20" s="16"/>
      <c r="L20" s="17"/>
    </row>
    <row r="21" spans="1:12" ht="12.15" customHeight="1" thickBot="1" x14ac:dyDescent="0.3">
      <c r="A21" s="12" t="s">
        <v>453</v>
      </c>
      <c r="B21" s="2"/>
      <c r="C21" t="s">
        <v>477</v>
      </c>
      <c r="J21" s="8">
        <f>'Maximum Rates'!D5</f>
        <v>122</v>
      </c>
      <c r="K21" s="602">
        <v>4</v>
      </c>
      <c r="L21" s="11">
        <f>(J21*K21)</f>
        <v>488</v>
      </c>
    </row>
    <row r="22" spans="1:12" ht="12.15" customHeight="1" x14ac:dyDescent="0.25">
      <c r="A22" s="10"/>
      <c r="C22" t="s">
        <v>382</v>
      </c>
      <c r="J22" s="8"/>
      <c r="L22" s="11"/>
    </row>
    <row r="23" spans="1:12" ht="12.15" customHeight="1" thickBot="1" x14ac:dyDescent="0.3">
      <c r="A23" s="10"/>
      <c r="C23" t="s">
        <v>22</v>
      </c>
      <c r="J23" s="8"/>
      <c r="L23" s="11"/>
    </row>
    <row r="24" spans="1:12" ht="12.15" customHeight="1" thickBot="1" x14ac:dyDescent="0.3">
      <c r="A24" s="12" t="s">
        <v>454</v>
      </c>
      <c r="B24" s="2"/>
      <c r="C24" t="s">
        <v>442</v>
      </c>
      <c r="J24" s="8">
        <f>'Maximum Rates'!D6</f>
        <v>140</v>
      </c>
      <c r="K24" s="602">
        <v>1</v>
      </c>
      <c r="L24" s="11">
        <f>(J24*K24)</f>
        <v>140</v>
      </c>
    </row>
    <row r="25" spans="1:12" ht="12.15" customHeight="1" x14ac:dyDescent="0.25">
      <c r="A25" s="10"/>
      <c r="C25" t="s">
        <v>22</v>
      </c>
      <c r="J25" s="8"/>
      <c r="L25" s="11"/>
    </row>
    <row r="26" spans="1:12" ht="12.15" customHeight="1" thickBot="1" x14ac:dyDescent="0.3">
      <c r="A26" s="10"/>
      <c r="J26" s="8"/>
      <c r="L26" s="11"/>
    </row>
    <row r="27" spans="1:12" ht="12.15" customHeight="1" thickBot="1" x14ac:dyDescent="0.3">
      <c r="A27" s="12" t="s">
        <v>455</v>
      </c>
      <c r="B27" s="2"/>
      <c r="C27" t="s">
        <v>594</v>
      </c>
      <c r="J27" s="8">
        <f>'Maximum Rates'!D7</f>
        <v>102</v>
      </c>
      <c r="K27" s="602">
        <v>2</v>
      </c>
      <c r="L27" s="11">
        <f>(J27*K27)</f>
        <v>204</v>
      </c>
    </row>
    <row r="28" spans="1:12" ht="12.15" customHeight="1" x14ac:dyDescent="0.25">
      <c r="A28" s="12" t="s">
        <v>218</v>
      </c>
      <c r="B28" s="2"/>
      <c r="C28" t="s">
        <v>22</v>
      </c>
      <c r="J28" s="8"/>
      <c r="L28" s="11"/>
    </row>
    <row r="29" spans="1:12" ht="12.15" customHeight="1" thickBot="1" x14ac:dyDescent="0.3">
      <c r="A29" s="10"/>
      <c r="J29" s="8"/>
      <c r="L29" s="11"/>
    </row>
    <row r="30" spans="1:12" ht="12.15" customHeight="1" thickBot="1" x14ac:dyDescent="0.3">
      <c r="A30" s="12" t="s">
        <v>456</v>
      </c>
      <c r="B30" s="2"/>
      <c r="C30" t="s">
        <v>383</v>
      </c>
      <c r="J30" s="8">
        <f>'Maximum Rates'!D10</f>
        <v>74</v>
      </c>
      <c r="K30" s="602">
        <v>1</v>
      </c>
      <c r="L30" s="11">
        <f>(J30*K30)</f>
        <v>74</v>
      </c>
    </row>
    <row r="31" spans="1:12" ht="12.15" customHeight="1" x14ac:dyDescent="0.25">
      <c r="A31" s="10"/>
      <c r="J31" s="8"/>
      <c r="L31" s="11"/>
    </row>
    <row r="32" spans="1:12" ht="12.15" customHeight="1" thickBot="1" x14ac:dyDescent="0.3">
      <c r="A32" s="10"/>
      <c r="J32" s="8"/>
      <c r="L32" s="11"/>
    </row>
    <row r="33" spans="1:12" ht="12.15" customHeight="1" thickBot="1" x14ac:dyDescent="0.3">
      <c r="A33" s="12" t="s">
        <v>457</v>
      </c>
      <c r="B33" s="2"/>
      <c r="C33" t="s">
        <v>448</v>
      </c>
      <c r="J33" s="8">
        <f>'Maximum Rates'!D11</f>
        <v>60</v>
      </c>
      <c r="K33" s="602">
        <v>4</v>
      </c>
      <c r="L33" s="11">
        <f>(J33*K33)</f>
        <v>240</v>
      </c>
    </row>
    <row r="34" spans="1:12" ht="12.15" customHeight="1" thickBot="1" x14ac:dyDescent="0.3">
      <c r="A34" s="10"/>
      <c r="C34" t="s">
        <v>22</v>
      </c>
      <c r="L34" s="11"/>
    </row>
    <row r="35" spans="1:12" ht="12.15" customHeight="1" thickBot="1" x14ac:dyDescent="0.3">
      <c r="A35" s="13"/>
      <c r="B35" s="14"/>
      <c r="C35" s="14"/>
      <c r="D35" s="14"/>
      <c r="E35" s="563" t="s">
        <v>351</v>
      </c>
      <c r="F35" s="564"/>
      <c r="G35" s="564"/>
      <c r="H35" s="564"/>
      <c r="I35" s="564"/>
      <c r="J35" s="564"/>
      <c r="K35" s="548"/>
      <c r="L35" s="6">
        <f>SUM(L21:L34)</f>
        <v>1146</v>
      </c>
    </row>
    <row r="36" spans="1:12" ht="12.15" customHeight="1" thickBot="1" x14ac:dyDescent="0.3">
      <c r="A36" s="29"/>
      <c r="G36" s="7"/>
      <c r="H36" s="7"/>
      <c r="I36" s="7"/>
      <c r="J36" s="7"/>
      <c r="K36" s="553"/>
      <c r="L36" s="42"/>
    </row>
    <row r="37" spans="1:12" ht="18" customHeight="1" x14ac:dyDescent="0.25">
      <c r="A37" s="875" t="s">
        <v>1164</v>
      </c>
      <c r="B37" s="876"/>
      <c r="C37" s="876"/>
      <c r="D37" s="876"/>
      <c r="E37" s="876"/>
      <c r="F37" s="876"/>
      <c r="G37" s="876"/>
      <c r="H37" s="876"/>
      <c r="I37" s="876"/>
      <c r="J37" s="876"/>
      <c r="K37" s="876"/>
      <c r="L37" s="877"/>
    </row>
    <row r="38" spans="1:12" ht="12.15" customHeight="1" thickBot="1" x14ac:dyDescent="0.35">
      <c r="A38" s="10"/>
      <c r="D38" s="16"/>
      <c r="L38" s="17"/>
    </row>
    <row r="39" spans="1:12" ht="12.15" customHeight="1" thickBot="1" x14ac:dyDescent="0.3">
      <c r="A39" s="12" t="s">
        <v>453</v>
      </c>
      <c r="B39" s="2"/>
      <c r="C39" t="s">
        <v>478</v>
      </c>
      <c r="J39" s="8">
        <f>'Maximum Rates'!D5</f>
        <v>122</v>
      </c>
      <c r="K39" s="602">
        <v>4</v>
      </c>
      <c r="L39" s="11">
        <f>(J39*K39)</f>
        <v>488</v>
      </c>
    </row>
    <row r="40" spans="1:12" ht="12.15" customHeight="1" x14ac:dyDescent="0.25">
      <c r="A40" s="10"/>
      <c r="C40" t="s">
        <v>385</v>
      </c>
      <c r="J40" s="8"/>
      <c r="L40" s="11"/>
    </row>
    <row r="41" spans="1:12" ht="12.15" customHeight="1" thickBot="1" x14ac:dyDescent="0.3">
      <c r="A41" s="10"/>
      <c r="C41" t="s">
        <v>22</v>
      </c>
      <c r="J41" s="8"/>
      <c r="L41" s="11"/>
    </row>
    <row r="42" spans="1:12" ht="12.15" customHeight="1" thickBot="1" x14ac:dyDescent="0.3">
      <c r="A42" s="12" t="s">
        <v>454</v>
      </c>
      <c r="B42" s="2"/>
      <c r="C42" t="s">
        <v>502</v>
      </c>
      <c r="J42" s="8">
        <f>'Maximum Rates'!D6</f>
        <v>140</v>
      </c>
      <c r="K42" s="602">
        <v>1</v>
      </c>
      <c r="L42" s="11">
        <f>(J42*K42)</f>
        <v>140</v>
      </c>
    </row>
    <row r="43" spans="1:12" ht="12.15" customHeight="1" x14ac:dyDescent="0.25">
      <c r="A43" s="10"/>
      <c r="C43" t="s">
        <v>22</v>
      </c>
      <c r="J43" s="8"/>
      <c r="L43" s="11"/>
    </row>
    <row r="44" spans="1:12" ht="12.15" customHeight="1" thickBot="1" x14ac:dyDescent="0.3">
      <c r="A44" s="10"/>
      <c r="J44" s="8"/>
      <c r="L44" s="11"/>
    </row>
    <row r="45" spans="1:12" ht="12.15" customHeight="1" thickBot="1" x14ac:dyDescent="0.3">
      <c r="A45" s="12" t="s">
        <v>455</v>
      </c>
      <c r="B45" s="2"/>
      <c r="C45" t="s">
        <v>598</v>
      </c>
      <c r="J45" s="8">
        <f>'Maximum Rates'!D7</f>
        <v>102</v>
      </c>
      <c r="K45" s="602">
        <v>2</v>
      </c>
      <c r="L45" s="11">
        <f>(J45*K45)</f>
        <v>204</v>
      </c>
    </row>
    <row r="46" spans="1:12" ht="12.15" customHeight="1" x14ac:dyDescent="0.25">
      <c r="A46" s="12" t="s">
        <v>218</v>
      </c>
      <c r="B46" s="2"/>
      <c r="C46" t="s">
        <v>22</v>
      </c>
      <c r="J46" s="8"/>
      <c r="L46" s="11"/>
    </row>
    <row r="47" spans="1:12" ht="12.15" customHeight="1" thickBot="1" x14ac:dyDescent="0.3">
      <c r="A47" s="10"/>
      <c r="J47" s="8"/>
      <c r="L47" s="11"/>
    </row>
    <row r="48" spans="1:12" ht="12.15" customHeight="1" thickBot="1" x14ac:dyDescent="0.3">
      <c r="A48" s="12" t="s">
        <v>456</v>
      </c>
      <c r="B48" s="2"/>
      <c r="C48" t="s">
        <v>386</v>
      </c>
      <c r="J48" s="8">
        <f>'Maximum Rates'!D10</f>
        <v>74</v>
      </c>
      <c r="K48" s="602">
        <v>1</v>
      </c>
      <c r="L48" s="11">
        <f>(J48*K48)</f>
        <v>74</v>
      </c>
    </row>
    <row r="49" spans="1:12" ht="12.15" customHeight="1" x14ac:dyDescent="0.25">
      <c r="A49" s="10"/>
      <c r="J49" s="8"/>
      <c r="L49" s="11"/>
    </row>
    <row r="50" spans="1:12" ht="12.15" customHeight="1" thickBot="1" x14ac:dyDescent="0.3">
      <c r="A50" s="10"/>
      <c r="J50" s="8"/>
      <c r="L50" s="11"/>
    </row>
    <row r="51" spans="1:12" ht="12.15" customHeight="1" thickBot="1" x14ac:dyDescent="0.3">
      <c r="A51" s="12" t="s">
        <v>457</v>
      </c>
      <c r="B51" s="2"/>
      <c r="C51" s="44" t="s">
        <v>125</v>
      </c>
      <c r="J51" s="8">
        <f>'Maximum Rates'!D11</f>
        <v>60</v>
      </c>
      <c r="K51" s="602">
        <v>2</v>
      </c>
      <c r="L51" s="11">
        <f>(J51*K51)</f>
        <v>120</v>
      </c>
    </row>
    <row r="52" spans="1:12" ht="12.15" customHeight="1" thickBot="1" x14ac:dyDescent="0.3">
      <c r="A52" s="10"/>
      <c r="C52" t="s">
        <v>22</v>
      </c>
      <c r="L52" s="11"/>
    </row>
    <row r="53" spans="1:12" ht="12.15" customHeight="1" thickBot="1" x14ac:dyDescent="0.3">
      <c r="A53" s="13"/>
      <c r="B53" s="14"/>
      <c r="C53" s="14"/>
      <c r="D53" s="14"/>
      <c r="E53" s="563" t="s">
        <v>411</v>
      </c>
      <c r="F53" s="564"/>
      <c r="G53" s="564"/>
      <c r="H53" s="564"/>
      <c r="I53" s="564"/>
      <c r="J53" s="564"/>
      <c r="K53" s="548"/>
      <c r="L53" s="6">
        <f>SUM(L39:L52)</f>
        <v>1026</v>
      </c>
    </row>
    <row r="54" spans="1:12" ht="12.15" customHeight="1" x14ac:dyDescent="0.25">
      <c r="K54"/>
    </row>
    <row r="55" spans="1:12" ht="12.15" customHeight="1" x14ac:dyDescent="0.25">
      <c r="K55"/>
    </row>
    <row r="56" spans="1:12" ht="12.15" customHeight="1" x14ac:dyDescent="0.25">
      <c r="K56"/>
    </row>
    <row r="57" spans="1:12" ht="12.15" customHeight="1" x14ac:dyDescent="0.25">
      <c r="K57"/>
    </row>
    <row r="58" spans="1:12" ht="12.15" customHeight="1" x14ac:dyDescent="0.25">
      <c r="K58"/>
    </row>
    <row r="59" spans="1:12" ht="12.15" customHeight="1" x14ac:dyDescent="0.25">
      <c r="K59"/>
    </row>
    <row r="60" spans="1:12" ht="12.15" customHeight="1" x14ac:dyDescent="0.25">
      <c r="K60"/>
    </row>
    <row r="61" spans="1:12" ht="12.15" customHeight="1" thickBot="1" x14ac:dyDescent="0.3">
      <c r="K61"/>
    </row>
    <row r="62" spans="1:12" ht="18" customHeight="1" x14ac:dyDescent="0.25">
      <c r="A62" s="875" t="s">
        <v>412</v>
      </c>
      <c r="B62" s="876"/>
      <c r="C62" s="876"/>
      <c r="D62" s="876"/>
      <c r="E62" s="876"/>
      <c r="F62" s="876"/>
      <c r="G62" s="876"/>
      <c r="H62" s="876"/>
      <c r="I62" s="876"/>
      <c r="J62" s="876"/>
      <c r="K62" s="876"/>
      <c r="L62" s="877"/>
    </row>
    <row r="63" spans="1:12" ht="12.15" customHeight="1" thickBot="1" x14ac:dyDescent="0.35">
      <c r="A63" s="10"/>
      <c r="D63" s="16"/>
      <c r="L63" s="17"/>
    </row>
    <row r="64" spans="1:12" ht="12.15" customHeight="1" thickBot="1" x14ac:dyDescent="0.3">
      <c r="A64" s="12" t="s">
        <v>453</v>
      </c>
      <c r="B64" s="2"/>
      <c r="C64" t="s">
        <v>479</v>
      </c>
      <c r="J64" s="8">
        <f>'Maximum Rates'!D5</f>
        <v>122</v>
      </c>
      <c r="K64" s="602">
        <v>8</v>
      </c>
      <c r="L64" s="11">
        <f>(J64*K64)</f>
        <v>976</v>
      </c>
    </row>
    <row r="65" spans="1:12" ht="12.15" customHeight="1" x14ac:dyDescent="0.25">
      <c r="A65" s="10"/>
      <c r="C65" t="s">
        <v>384</v>
      </c>
      <c r="J65" s="8"/>
      <c r="L65" s="11"/>
    </row>
    <row r="66" spans="1:12" ht="12.15" customHeight="1" thickBot="1" x14ac:dyDescent="0.3">
      <c r="A66" s="10"/>
      <c r="C66" t="s">
        <v>22</v>
      </c>
      <c r="J66" s="8"/>
      <c r="L66" s="11"/>
    </row>
    <row r="67" spans="1:12" ht="12.15" customHeight="1" thickBot="1" x14ac:dyDescent="0.3">
      <c r="A67" s="12" t="s">
        <v>454</v>
      </c>
      <c r="B67" s="2"/>
      <c r="C67" t="s">
        <v>442</v>
      </c>
      <c r="J67" s="8">
        <f>'Maximum Rates'!D6</f>
        <v>140</v>
      </c>
      <c r="K67" s="602">
        <v>1</v>
      </c>
      <c r="L67" s="11">
        <f>(J67*K67)</f>
        <v>140</v>
      </c>
    </row>
    <row r="68" spans="1:12" ht="12.15" customHeight="1" x14ac:dyDescent="0.25">
      <c r="A68" s="10"/>
      <c r="C68" t="s">
        <v>22</v>
      </c>
      <c r="J68" s="8"/>
      <c r="L68" s="11"/>
    </row>
    <row r="69" spans="1:12" ht="12.15" customHeight="1" thickBot="1" x14ac:dyDescent="0.3">
      <c r="A69" s="10"/>
      <c r="J69" s="8"/>
      <c r="L69" s="11"/>
    </row>
    <row r="70" spans="1:12" ht="12.15" customHeight="1" thickBot="1" x14ac:dyDescent="0.3">
      <c r="A70" s="12" t="s">
        <v>455</v>
      </c>
      <c r="B70" s="2"/>
      <c r="C70" t="s">
        <v>594</v>
      </c>
      <c r="J70" s="8">
        <f>'Maximum Rates'!D7</f>
        <v>102</v>
      </c>
      <c r="K70" s="602">
        <v>6</v>
      </c>
      <c r="L70" s="11">
        <f>(J70*K70)</f>
        <v>612</v>
      </c>
    </row>
    <row r="71" spans="1:12" ht="12.15" customHeight="1" x14ac:dyDescent="0.25">
      <c r="A71" s="12" t="s">
        <v>218</v>
      </c>
      <c r="B71" s="2"/>
      <c r="C71" t="s">
        <v>22</v>
      </c>
      <c r="J71" s="8"/>
      <c r="L71" s="11"/>
    </row>
    <row r="72" spans="1:12" ht="12.15" customHeight="1" thickBot="1" x14ac:dyDescent="0.3">
      <c r="A72" s="10"/>
      <c r="J72" s="8"/>
      <c r="L72" s="11"/>
    </row>
    <row r="73" spans="1:12" ht="12.15" customHeight="1" thickBot="1" x14ac:dyDescent="0.3">
      <c r="A73" s="12" t="s">
        <v>456</v>
      </c>
      <c r="B73" s="2"/>
      <c r="C73" t="s">
        <v>387</v>
      </c>
      <c r="J73" s="8">
        <f>'Maximum Rates'!D10</f>
        <v>74</v>
      </c>
      <c r="K73" s="602">
        <v>1</v>
      </c>
      <c r="L73" s="11">
        <f>(J73*K73)</f>
        <v>74</v>
      </c>
    </row>
    <row r="74" spans="1:12" ht="12.15" customHeight="1" x14ac:dyDescent="0.25">
      <c r="A74" s="10"/>
      <c r="J74" s="8"/>
      <c r="L74" s="11"/>
    </row>
    <row r="75" spans="1:12" ht="12.15" customHeight="1" thickBot="1" x14ac:dyDescent="0.3">
      <c r="A75" s="10"/>
      <c r="J75" s="8"/>
      <c r="L75" s="11"/>
    </row>
    <row r="76" spans="1:12" ht="12.15" customHeight="1" thickBot="1" x14ac:dyDescent="0.3">
      <c r="A76" s="12" t="s">
        <v>457</v>
      </c>
      <c r="B76" s="2"/>
      <c r="C76" t="s">
        <v>574</v>
      </c>
      <c r="J76" s="8">
        <f>'Maximum Rates'!D11</f>
        <v>60</v>
      </c>
      <c r="K76" s="602">
        <v>4</v>
      </c>
      <c r="L76" s="11">
        <f>(J76*K76)</f>
        <v>240</v>
      </c>
    </row>
    <row r="77" spans="1:12" ht="12.15" customHeight="1" thickBot="1" x14ac:dyDescent="0.3">
      <c r="A77" s="10"/>
      <c r="C77" t="s">
        <v>22</v>
      </c>
      <c r="L77" s="11"/>
    </row>
    <row r="78" spans="1:12" ht="12.15" customHeight="1" thickBot="1" x14ac:dyDescent="0.3">
      <c r="A78" s="13"/>
      <c r="B78" s="14"/>
      <c r="C78" s="14"/>
      <c r="D78" s="14"/>
      <c r="E78" s="563" t="s">
        <v>413</v>
      </c>
      <c r="F78" s="564"/>
      <c r="G78" s="564"/>
      <c r="H78" s="564"/>
      <c r="I78" s="564"/>
      <c r="J78" s="564"/>
      <c r="K78" s="548"/>
      <c r="L78" s="6">
        <f>SUM(L64:L77)</f>
        <v>2042</v>
      </c>
    </row>
    <row r="79" spans="1:12" ht="12.15" customHeight="1" thickBot="1" x14ac:dyDescent="0.3"/>
    <row r="80" spans="1:12" ht="18" customHeight="1" x14ac:dyDescent="0.25">
      <c r="A80" s="875" t="s">
        <v>102</v>
      </c>
      <c r="B80" s="876"/>
      <c r="C80" s="876"/>
      <c r="D80" s="876"/>
      <c r="E80" s="876"/>
      <c r="F80" s="876"/>
      <c r="G80" s="876"/>
      <c r="H80" s="876"/>
      <c r="I80" s="876"/>
      <c r="J80" s="876"/>
      <c r="K80" s="876"/>
      <c r="L80" s="877"/>
    </row>
    <row r="81" spans="1:12" ht="12.15" customHeight="1" thickBot="1" x14ac:dyDescent="0.35">
      <c r="A81" s="10"/>
      <c r="D81" s="16"/>
      <c r="L81" s="17"/>
    </row>
    <row r="82" spans="1:12" ht="12.15" customHeight="1" thickBot="1" x14ac:dyDescent="0.3">
      <c r="A82" s="12" t="s">
        <v>453</v>
      </c>
      <c r="B82" s="2"/>
      <c r="C82" t="s">
        <v>122</v>
      </c>
      <c r="J82" s="8">
        <f>'Maximum Rates'!D5</f>
        <v>122</v>
      </c>
      <c r="K82" s="551">
        <v>2</v>
      </c>
      <c r="L82" s="11">
        <f>(J82*K82)</f>
        <v>244</v>
      </c>
    </row>
    <row r="83" spans="1:12" ht="12.15" customHeight="1" x14ac:dyDescent="0.25">
      <c r="A83" s="10"/>
      <c r="J83" s="8"/>
      <c r="L83" s="11"/>
    </row>
    <row r="84" spans="1:12" ht="12.15" customHeight="1" thickBot="1" x14ac:dyDescent="0.3">
      <c r="A84" s="10"/>
      <c r="J84" s="8"/>
      <c r="L84" s="11"/>
    </row>
    <row r="85" spans="1:12" ht="12.15" customHeight="1" thickBot="1" x14ac:dyDescent="0.3">
      <c r="A85" s="12" t="s">
        <v>454</v>
      </c>
      <c r="B85" s="2"/>
      <c r="C85" t="s">
        <v>123</v>
      </c>
      <c r="J85" s="8">
        <f>'Maximum Rates'!D6</f>
        <v>140</v>
      </c>
      <c r="K85" s="551">
        <v>1</v>
      </c>
      <c r="L85" s="11">
        <f>(J85*K85)</f>
        <v>140</v>
      </c>
    </row>
    <row r="86" spans="1:12" ht="12.15" customHeight="1" x14ac:dyDescent="0.25">
      <c r="A86" s="10"/>
      <c r="J86" s="8"/>
      <c r="L86" s="11"/>
    </row>
    <row r="87" spans="1:12" ht="12.15" customHeight="1" thickBot="1" x14ac:dyDescent="0.3">
      <c r="A87" s="10"/>
      <c r="J87" s="8"/>
      <c r="L87" s="11"/>
    </row>
    <row r="88" spans="1:12" ht="12.15" customHeight="1" thickBot="1" x14ac:dyDescent="0.3">
      <c r="A88" s="12" t="s">
        <v>455</v>
      </c>
      <c r="B88" s="2"/>
      <c r="C88" t="s">
        <v>124</v>
      </c>
      <c r="J88" s="8">
        <f>'Maximum Rates'!D7</f>
        <v>102</v>
      </c>
      <c r="K88" s="551">
        <v>2</v>
      </c>
      <c r="L88" s="11">
        <f>(J88*K88)</f>
        <v>204</v>
      </c>
    </row>
    <row r="89" spans="1:12" ht="12.15" customHeight="1" x14ac:dyDescent="0.25">
      <c r="A89" s="12" t="s">
        <v>218</v>
      </c>
      <c r="B89" s="2"/>
      <c r="J89" s="8"/>
      <c r="L89" s="11"/>
    </row>
    <row r="90" spans="1:12" ht="12.15" customHeight="1" thickBot="1" x14ac:dyDescent="0.3">
      <c r="A90" s="10"/>
      <c r="J90" s="8"/>
      <c r="L90" s="11"/>
    </row>
    <row r="91" spans="1:12" ht="12.15" customHeight="1" thickBot="1" x14ac:dyDescent="0.3">
      <c r="A91" s="12" t="s">
        <v>456</v>
      </c>
      <c r="B91" s="2"/>
      <c r="J91" s="8">
        <f>'Maximum Rates'!D10</f>
        <v>74</v>
      </c>
      <c r="K91" s="551">
        <v>0</v>
      </c>
      <c r="L91" s="11">
        <f>(J91*K91)</f>
        <v>0</v>
      </c>
    </row>
    <row r="92" spans="1:12" ht="12.15" customHeight="1" x14ac:dyDescent="0.25">
      <c r="A92" s="10"/>
      <c r="J92" s="8"/>
      <c r="L92" s="11"/>
    </row>
    <row r="93" spans="1:12" ht="12.15" customHeight="1" thickBot="1" x14ac:dyDescent="0.3">
      <c r="A93" s="10"/>
      <c r="J93" s="8"/>
      <c r="L93" s="11"/>
    </row>
    <row r="94" spans="1:12" ht="12.15" customHeight="1" thickBot="1" x14ac:dyDescent="0.3">
      <c r="A94" s="12" t="s">
        <v>457</v>
      </c>
      <c r="B94" s="2"/>
      <c r="C94" t="s">
        <v>125</v>
      </c>
      <c r="J94" s="8">
        <f>'Maximum Rates'!D11</f>
        <v>60</v>
      </c>
      <c r="K94" s="551">
        <v>1</v>
      </c>
      <c r="L94" s="11">
        <f>(J94*K94)</f>
        <v>60</v>
      </c>
    </row>
    <row r="95" spans="1:12" ht="12.15" customHeight="1" thickBot="1" x14ac:dyDescent="0.3">
      <c r="A95" s="10"/>
      <c r="C95" t="s">
        <v>22</v>
      </c>
      <c r="L95" s="11"/>
    </row>
    <row r="96" spans="1:12" ht="12.15" customHeight="1" thickBot="1" x14ac:dyDescent="0.3">
      <c r="A96" s="13"/>
      <c r="B96" s="14"/>
      <c r="C96" s="14"/>
      <c r="D96" s="14"/>
      <c r="E96" s="563" t="s">
        <v>388</v>
      </c>
      <c r="F96" s="564"/>
      <c r="G96" s="564"/>
      <c r="H96" s="564"/>
      <c r="I96" s="564"/>
      <c r="J96" s="564"/>
      <c r="K96" s="548"/>
      <c r="L96" s="6">
        <f>SUM(L82:L95)</f>
        <v>648</v>
      </c>
    </row>
    <row r="97" ht="12.15" customHeight="1" x14ac:dyDescent="0.25"/>
    <row r="98" ht="12.15" customHeight="1" x14ac:dyDescent="0.25"/>
    <row r="99" ht="12.15" customHeight="1" x14ac:dyDescent="0.25"/>
    <row r="100" ht="12.15" customHeight="1" x14ac:dyDescent="0.25"/>
    <row r="101" ht="12.15" customHeight="1" x14ac:dyDescent="0.25"/>
    <row r="102" ht="12.15" customHeight="1" x14ac:dyDescent="0.25"/>
    <row r="103" ht="12.15" customHeight="1" x14ac:dyDescent="0.25"/>
    <row r="104" ht="12.15" customHeight="1" x14ac:dyDescent="0.25"/>
    <row r="105" ht="12.15" customHeight="1" x14ac:dyDescent="0.25"/>
    <row r="106" ht="12.15" customHeight="1" x14ac:dyDescent="0.25"/>
    <row r="107" ht="12.15" customHeight="1" x14ac:dyDescent="0.25"/>
    <row r="108" ht="12.15" customHeight="1" x14ac:dyDescent="0.25"/>
    <row r="109" ht="12.15" customHeight="1" x14ac:dyDescent="0.25"/>
    <row r="110" ht="12.15" customHeight="1" x14ac:dyDescent="0.25"/>
    <row r="111" ht="12.15" customHeight="1" x14ac:dyDescent="0.25"/>
    <row r="112" ht="12.15" customHeight="1" x14ac:dyDescent="0.25"/>
    <row r="113" ht="12.15" customHeight="1" x14ac:dyDescent="0.25"/>
    <row r="114" ht="12.15" customHeight="1" x14ac:dyDescent="0.25"/>
    <row r="115" ht="12.15" customHeight="1" x14ac:dyDescent="0.25"/>
    <row r="116" ht="12.15" customHeight="1" x14ac:dyDescent="0.25"/>
    <row r="117" ht="12.15" customHeight="1" x14ac:dyDescent="0.25"/>
    <row r="118" ht="12.15" customHeight="1" x14ac:dyDescent="0.25"/>
    <row r="119" ht="12.15" customHeight="1" x14ac:dyDescent="0.25"/>
    <row r="120" ht="12.15" customHeight="1" x14ac:dyDescent="0.25"/>
    <row r="121" ht="12.15" customHeight="1" x14ac:dyDescent="0.25"/>
    <row r="122" ht="12.15" customHeight="1" x14ac:dyDescent="0.25"/>
    <row r="123" ht="12.15" customHeight="1" x14ac:dyDescent="0.25"/>
    <row r="124" ht="12.15" customHeight="1" x14ac:dyDescent="0.25"/>
    <row r="125" ht="12.15" customHeight="1" x14ac:dyDescent="0.25"/>
    <row r="126" ht="12.15" customHeight="1" x14ac:dyDescent="0.25"/>
    <row r="127" ht="12.15" customHeight="1" x14ac:dyDescent="0.25"/>
    <row r="128" ht="12.15" customHeight="1" x14ac:dyDescent="0.25"/>
    <row r="129" ht="12.15" customHeight="1" x14ac:dyDescent="0.25"/>
    <row r="130" ht="12.15" customHeight="1" x14ac:dyDescent="0.25"/>
    <row r="131" ht="12.15" customHeight="1" x14ac:dyDescent="0.25"/>
    <row r="132" ht="12.15" customHeight="1" x14ac:dyDescent="0.25"/>
    <row r="133" ht="12.15" customHeight="1" x14ac:dyDescent="0.25"/>
    <row r="134" ht="12.15" customHeight="1" x14ac:dyDescent="0.25"/>
    <row r="135" ht="12.15" customHeight="1" x14ac:dyDescent="0.25"/>
    <row r="136" ht="12.15" customHeight="1" x14ac:dyDescent="0.25"/>
    <row r="137" ht="12.15" customHeight="1" x14ac:dyDescent="0.25"/>
    <row r="138" ht="12.15" customHeight="1" x14ac:dyDescent="0.25"/>
    <row r="139" ht="12.15" customHeight="1" x14ac:dyDescent="0.25"/>
    <row r="140" ht="12.15" customHeight="1" x14ac:dyDescent="0.25"/>
    <row r="141" ht="12.15" customHeight="1" x14ac:dyDescent="0.25"/>
    <row r="142" ht="12.15" customHeight="1" x14ac:dyDescent="0.25"/>
    <row r="143" ht="12.15" customHeight="1" x14ac:dyDescent="0.25"/>
    <row r="144" ht="12.15" customHeight="1" x14ac:dyDescent="0.25"/>
    <row r="145" ht="12.15" customHeight="1" x14ac:dyDescent="0.25"/>
    <row r="146" ht="12.15" customHeight="1" x14ac:dyDescent="0.25"/>
    <row r="147" ht="12.15" customHeight="1" x14ac:dyDescent="0.25"/>
    <row r="148" ht="12.15" customHeight="1" x14ac:dyDescent="0.25"/>
    <row r="149" ht="12.15" customHeight="1" x14ac:dyDescent="0.25"/>
    <row r="150" ht="12.15" customHeight="1" x14ac:dyDescent="0.25"/>
    <row r="151" ht="12.15" customHeight="1" x14ac:dyDescent="0.25"/>
    <row r="152" ht="12.15" customHeight="1" x14ac:dyDescent="0.25"/>
    <row r="153" ht="12.15" customHeight="1" x14ac:dyDescent="0.25"/>
    <row r="154" ht="12.15" customHeight="1" x14ac:dyDescent="0.25"/>
    <row r="155" ht="12.15" customHeight="1" x14ac:dyDescent="0.25"/>
    <row r="156" ht="12.15" customHeight="1" x14ac:dyDescent="0.25"/>
    <row r="157" ht="12.15" customHeight="1" x14ac:dyDescent="0.25"/>
    <row r="158" ht="12.15" customHeight="1" x14ac:dyDescent="0.25"/>
    <row r="159" ht="12.15" customHeight="1" x14ac:dyDescent="0.25"/>
    <row r="160" ht="12.15" customHeight="1" x14ac:dyDescent="0.25"/>
    <row r="161" ht="12.15" customHeight="1" x14ac:dyDescent="0.25"/>
    <row r="162" ht="12.15" customHeight="1" x14ac:dyDescent="0.25"/>
    <row r="163" ht="12.15" customHeight="1" x14ac:dyDescent="0.25"/>
    <row r="164" ht="12.15" customHeight="1" x14ac:dyDescent="0.25"/>
    <row r="165" ht="12.15" customHeight="1" x14ac:dyDescent="0.25"/>
    <row r="166" ht="12.15" customHeight="1" x14ac:dyDescent="0.25"/>
    <row r="167" ht="12.15" customHeight="1" x14ac:dyDescent="0.25"/>
    <row r="168" ht="12.15" customHeight="1" x14ac:dyDescent="0.25"/>
    <row r="169" ht="12.15" customHeight="1" x14ac:dyDescent="0.25"/>
    <row r="170" ht="12.15" customHeight="1" x14ac:dyDescent="0.25"/>
    <row r="171" ht="12.15" customHeight="1" x14ac:dyDescent="0.25"/>
    <row r="172" ht="12.15" customHeight="1" x14ac:dyDescent="0.25"/>
    <row r="173" ht="12.15" customHeight="1" x14ac:dyDescent="0.25"/>
    <row r="174" ht="12.15" customHeight="1" x14ac:dyDescent="0.25"/>
    <row r="175" ht="12.15" customHeight="1" x14ac:dyDescent="0.25"/>
    <row r="176" ht="12.15" customHeight="1" x14ac:dyDescent="0.25"/>
    <row r="177" ht="12.15" customHeight="1" x14ac:dyDescent="0.25"/>
    <row r="178" ht="12.15" customHeight="1" x14ac:dyDescent="0.25"/>
    <row r="179" ht="12.15" customHeight="1" x14ac:dyDescent="0.25"/>
    <row r="180" ht="12.15" customHeight="1" x14ac:dyDescent="0.25"/>
    <row r="181" ht="12.15" customHeight="1" x14ac:dyDescent="0.25"/>
    <row r="182" ht="12.15" customHeight="1" x14ac:dyDescent="0.25"/>
    <row r="183" ht="12.15" customHeight="1" x14ac:dyDescent="0.25"/>
    <row r="184" ht="12.15" customHeight="1" x14ac:dyDescent="0.25"/>
    <row r="185" ht="12.15" customHeight="1" x14ac:dyDescent="0.25"/>
    <row r="186" ht="12.15" customHeight="1" x14ac:dyDescent="0.25"/>
    <row r="187" ht="12.15" customHeight="1" x14ac:dyDescent="0.25"/>
    <row r="188" ht="12.15" customHeight="1" x14ac:dyDescent="0.25"/>
    <row r="189" ht="12.15" customHeight="1" x14ac:dyDescent="0.25"/>
    <row r="190" ht="12.15" customHeight="1" x14ac:dyDescent="0.25"/>
    <row r="191" ht="12.15" customHeight="1" x14ac:dyDescent="0.25"/>
    <row r="192" ht="12.15" customHeight="1" x14ac:dyDescent="0.25"/>
    <row r="193" ht="12.15" customHeight="1" x14ac:dyDescent="0.25"/>
    <row r="194" ht="12.15" customHeight="1" x14ac:dyDescent="0.25"/>
    <row r="195" ht="12.15" customHeight="1" x14ac:dyDescent="0.25"/>
    <row r="196" ht="12.15" customHeight="1" x14ac:dyDescent="0.25"/>
    <row r="197" ht="12.15" customHeight="1" x14ac:dyDescent="0.25"/>
    <row r="198" ht="12.15" customHeight="1" x14ac:dyDescent="0.25"/>
    <row r="199" ht="12.15" customHeight="1" x14ac:dyDescent="0.25"/>
    <row r="200" ht="12.15" customHeight="1" x14ac:dyDescent="0.25"/>
    <row r="201" ht="12.15" customHeight="1" x14ac:dyDescent="0.25"/>
    <row r="202" ht="12.15" customHeight="1" x14ac:dyDescent="0.25"/>
    <row r="203" ht="12.15" customHeight="1" x14ac:dyDescent="0.25"/>
    <row r="204" ht="12.15" customHeight="1" x14ac:dyDescent="0.25"/>
    <row r="205" ht="12.15" customHeight="1" x14ac:dyDescent="0.25"/>
    <row r="206" ht="12.15" customHeight="1" x14ac:dyDescent="0.25"/>
    <row r="207" ht="12.15" customHeight="1" x14ac:dyDescent="0.25"/>
    <row r="208" ht="12.15" customHeight="1" x14ac:dyDescent="0.25"/>
    <row r="209" ht="12.15" customHeight="1" x14ac:dyDescent="0.25"/>
    <row r="210" ht="12.15" customHeight="1" x14ac:dyDescent="0.25"/>
    <row r="211" ht="12.15" customHeight="1" x14ac:dyDescent="0.25"/>
    <row r="212" ht="12.15" customHeight="1" x14ac:dyDescent="0.25"/>
    <row r="213" ht="12.15" customHeight="1" x14ac:dyDescent="0.25"/>
    <row r="214" ht="12.15" customHeight="1" x14ac:dyDescent="0.25"/>
    <row r="215" ht="12.15" customHeight="1" x14ac:dyDescent="0.25"/>
    <row r="216" ht="12.15" customHeight="1" x14ac:dyDescent="0.25"/>
    <row r="217" ht="12.15" customHeight="1" x14ac:dyDescent="0.25"/>
    <row r="218" ht="12.15" customHeight="1" x14ac:dyDescent="0.25"/>
    <row r="219" ht="12.15" customHeight="1" x14ac:dyDescent="0.25"/>
    <row r="220" ht="12.15" customHeight="1" x14ac:dyDescent="0.25"/>
    <row r="221" ht="12.15" customHeight="1" x14ac:dyDescent="0.25"/>
    <row r="222" ht="12.15" customHeight="1" x14ac:dyDescent="0.25"/>
    <row r="223" ht="12.15" customHeight="1" x14ac:dyDescent="0.25"/>
    <row r="224" ht="12.15" customHeight="1" x14ac:dyDescent="0.25"/>
    <row r="225" ht="12.15" customHeight="1" x14ac:dyDescent="0.25"/>
    <row r="226" ht="12.15" customHeight="1" x14ac:dyDescent="0.25"/>
    <row r="227" ht="12.15" customHeight="1" x14ac:dyDescent="0.25"/>
    <row r="228" ht="12.15" customHeight="1" x14ac:dyDescent="0.25"/>
    <row r="229" ht="12.15" customHeight="1" x14ac:dyDescent="0.25"/>
    <row r="230" ht="12.15" customHeight="1" x14ac:dyDescent="0.25"/>
    <row r="231" ht="12.15" customHeight="1" x14ac:dyDescent="0.25"/>
    <row r="232" ht="12.15" customHeight="1" x14ac:dyDescent="0.25"/>
    <row r="233" ht="12.15" customHeight="1" x14ac:dyDescent="0.25"/>
    <row r="234" ht="12.15" customHeight="1" x14ac:dyDescent="0.25"/>
    <row r="235" ht="12.15" customHeight="1" x14ac:dyDescent="0.25"/>
    <row r="236" ht="12.15" customHeight="1" x14ac:dyDescent="0.25"/>
    <row r="237" ht="12.15" customHeight="1" x14ac:dyDescent="0.25"/>
    <row r="238" ht="12.15" customHeight="1" x14ac:dyDescent="0.25"/>
    <row r="239" ht="12.15" customHeight="1" x14ac:dyDescent="0.25"/>
    <row r="240" ht="12.15" customHeight="1" x14ac:dyDescent="0.25"/>
    <row r="241" ht="12.15" customHeight="1" x14ac:dyDescent="0.25"/>
    <row r="242" ht="12.15" customHeight="1" x14ac:dyDescent="0.25"/>
    <row r="243" ht="12.15" customHeight="1" x14ac:dyDescent="0.25"/>
    <row r="244" ht="12.15" customHeight="1" x14ac:dyDescent="0.25"/>
    <row r="245" ht="12.15" customHeight="1" x14ac:dyDescent="0.25"/>
  </sheetData>
  <sheetProtection password="DC01" sheet="1" objects="1" scenarios="1" selectLockedCells="1"/>
  <customSheetViews>
    <customSheetView guid="{BC429C65-53B8-4F97-88D2-74ECCD734800}" scale="90" showGridLines="0" showRowCol="0" state="hidden">
      <selection activeCell="L6" sqref="L6"/>
      <rowBreaks count="1" manualBreakCount="1">
        <brk id="57" max="16383" man="1"/>
      </rowBreaks>
      <pageMargins left="0.25" right="0.25" top="1" bottom="0.25" header="0.5" footer="0.5"/>
      <printOptions horizontalCentered="1"/>
      <pageSetup scale="83" orientation="portrait" r:id="rId1"/>
      <headerFooter alignWithMargins="0"/>
    </customSheetView>
  </customSheetViews>
  <phoneticPr fontId="4" type="noConversion"/>
  <printOptions horizontalCentered="1"/>
  <pageMargins left="0.25" right="0.25" top="0.75" bottom="0.25" header="0.17" footer="0.5"/>
  <pageSetup orientation="portrait" r:id="rId2"/>
  <headerFooter alignWithMargins="0">
    <oddHeader>&amp;C&amp;18Units for Well Abandonment</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tabColor theme="3" tint="0.79998168889431442"/>
  </sheetPr>
  <dimension ref="A1:M252"/>
  <sheetViews>
    <sheetView showGridLines="0" showRowColHeaders="0" showRuler="0" view="pageLayout" zoomScaleNormal="90" workbookViewId="0">
      <selection activeCell="E8" sqref="E8:I10"/>
    </sheetView>
  </sheetViews>
  <sheetFormatPr defaultColWidth="7.44140625" defaultRowHeight="13.2" x14ac:dyDescent="0.25"/>
  <cols>
    <col min="1" max="8" width="8.5546875" customWidth="1"/>
    <col min="9" max="9" width="6.44140625" customWidth="1"/>
    <col min="10" max="10" width="8.5546875" customWidth="1"/>
    <col min="11" max="11" width="8.5546875" style="546" customWidth="1"/>
    <col min="12" max="12" width="9.6640625" customWidth="1"/>
    <col min="13" max="13" width="8.5546875" customWidth="1"/>
  </cols>
  <sheetData>
    <row r="1" spans="1:13" ht="18" customHeight="1" x14ac:dyDescent="0.25">
      <c r="A1" s="875" t="s">
        <v>1165</v>
      </c>
      <c r="B1" s="876"/>
      <c r="C1" s="876"/>
      <c r="D1" s="876"/>
      <c r="E1" s="876"/>
      <c r="F1" s="876"/>
      <c r="G1" s="876"/>
      <c r="H1" s="876"/>
      <c r="I1" s="876"/>
      <c r="J1" s="876"/>
      <c r="K1" s="876"/>
      <c r="L1" s="877"/>
    </row>
    <row r="2" spans="1:13" ht="12.15" customHeight="1" thickBot="1" x14ac:dyDescent="0.45">
      <c r="A2" s="10"/>
      <c r="D2" s="16"/>
      <c r="L2" s="17"/>
      <c r="M2" s="592"/>
    </row>
    <row r="3" spans="1:13" ht="12.15" customHeight="1" thickBot="1" x14ac:dyDescent="0.3">
      <c r="A3" s="12" t="s">
        <v>453</v>
      </c>
      <c r="B3" s="2"/>
      <c r="C3" t="s">
        <v>1</v>
      </c>
      <c r="J3" s="8">
        <f>'Maximum Rates'!D5</f>
        <v>122</v>
      </c>
      <c r="K3" s="602">
        <v>1</v>
      </c>
      <c r="L3" s="11">
        <f>(J3*K3)</f>
        <v>122</v>
      </c>
    </row>
    <row r="4" spans="1:13" ht="12.15" customHeight="1" x14ac:dyDescent="0.25">
      <c r="A4" s="10"/>
      <c r="J4" s="8"/>
      <c r="L4" s="11"/>
    </row>
    <row r="5" spans="1:13" ht="12.15" customHeight="1" thickBot="1" x14ac:dyDescent="0.3">
      <c r="A5" s="10"/>
      <c r="C5" t="s">
        <v>22</v>
      </c>
      <c r="J5" s="8"/>
      <c r="L5" s="11"/>
    </row>
    <row r="6" spans="1:13" ht="12.15" customHeight="1" thickBot="1" x14ac:dyDescent="0.3">
      <c r="A6" s="12" t="s">
        <v>454</v>
      </c>
      <c r="B6" s="2"/>
      <c r="C6" t="s">
        <v>502</v>
      </c>
      <c r="J6" s="8">
        <f>'Maximum Rates'!D6</f>
        <v>140</v>
      </c>
      <c r="K6" s="602">
        <v>1</v>
      </c>
      <c r="L6" s="11">
        <f>(J6*K6)</f>
        <v>140</v>
      </c>
    </row>
    <row r="7" spans="1:13" ht="12.15" customHeight="1" x14ac:dyDescent="0.25">
      <c r="A7" s="10"/>
      <c r="C7" t="s">
        <v>22</v>
      </c>
      <c r="J7" s="8"/>
      <c r="L7" s="11"/>
    </row>
    <row r="8" spans="1:13" ht="12.15" customHeight="1" thickBot="1" x14ac:dyDescent="0.3">
      <c r="A8" s="10"/>
      <c r="J8" s="8"/>
      <c r="L8" s="11"/>
    </row>
    <row r="9" spans="1:13" ht="12.15" customHeight="1" thickBot="1" x14ac:dyDescent="0.3">
      <c r="A9" s="12" t="s">
        <v>455</v>
      </c>
      <c r="B9" s="2"/>
      <c r="C9" t="s">
        <v>598</v>
      </c>
      <c r="J9" s="8">
        <f>'Maximum Rates'!D7</f>
        <v>102</v>
      </c>
      <c r="K9" s="602">
        <v>1</v>
      </c>
      <c r="L9" s="11">
        <f>(J9*K9)</f>
        <v>102</v>
      </c>
    </row>
    <row r="10" spans="1:13" ht="12.15" customHeight="1" x14ac:dyDescent="0.25">
      <c r="A10" s="12" t="s">
        <v>218</v>
      </c>
      <c r="B10" s="2"/>
      <c r="C10" t="s">
        <v>22</v>
      </c>
      <c r="J10" s="8"/>
      <c r="L10" s="11"/>
    </row>
    <row r="11" spans="1:13" ht="12.15" customHeight="1" thickBot="1" x14ac:dyDescent="0.3">
      <c r="A11" s="10"/>
      <c r="J11" s="8"/>
      <c r="L11" s="11"/>
    </row>
    <row r="12" spans="1:13" ht="12.15" customHeight="1" thickBot="1" x14ac:dyDescent="0.3">
      <c r="A12" s="12" t="s">
        <v>456</v>
      </c>
      <c r="B12" s="2"/>
      <c r="J12" s="8">
        <f>'Maximum Rates'!D10</f>
        <v>74</v>
      </c>
      <c r="K12" s="602">
        <v>0</v>
      </c>
      <c r="L12" s="11">
        <f>(J12*K12)</f>
        <v>0</v>
      </c>
    </row>
    <row r="13" spans="1:13" ht="12.15" customHeight="1" x14ac:dyDescent="0.25">
      <c r="A13" s="10"/>
      <c r="J13" s="8"/>
      <c r="L13" s="11"/>
    </row>
    <row r="14" spans="1:13" ht="12.15" customHeight="1" thickBot="1" x14ac:dyDescent="0.3">
      <c r="A14" s="10"/>
      <c r="J14" s="8"/>
      <c r="L14" s="11"/>
    </row>
    <row r="15" spans="1:13" ht="12.15" customHeight="1" thickBot="1" x14ac:dyDescent="0.3">
      <c r="A15" s="12" t="s">
        <v>457</v>
      </c>
      <c r="B15" s="2"/>
      <c r="C15" t="s">
        <v>125</v>
      </c>
      <c r="J15" s="8">
        <f>'Maximum Rates'!D11</f>
        <v>60</v>
      </c>
      <c r="K15" s="602">
        <v>1</v>
      </c>
      <c r="L15" s="11">
        <f>(J15*K15)</f>
        <v>60</v>
      </c>
    </row>
    <row r="16" spans="1:13" ht="12.15" customHeight="1" thickBot="1" x14ac:dyDescent="0.3">
      <c r="A16" s="10"/>
      <c r="C16" t="s">
        <v>22</v>
      </c>
      <c r="L16" s="11"/>
    </row>
    <row r="17" spans="1:12" ht="12.15" customHeight="1" thickBot="1" x14ac:dyDescent="0.3">
      <c r="A17" s="13"/>
      <c r="B17" s="14"/>
      <c r="C17" s="14"/>
      <c r="D17" s="14"/>
      <c r="E17" s="14"/>
      <c r="F17" s="14"/>
      <c r="G17" s="563" t="s">
        <v>310</v>
      </c>
      <c r="H17" s="564"/>
      <c r="I17" s="564"/>
      <c r="J17" s="564"/>
      <c r="K17" s="548"/>
      <c r="L17" s="6">
        <f>SUM(L3:L16)</f>
        <v>424</v>
      </c>
    </row>
    <row r="18" spans="1:12" ht="12.15" customHeight="1" thickBot="1" x14ac:dyDescent="0.3"/>
    <row r="19" spans="1:12" ht="18" customHeight="1" x14ac:dyDescent="0.3">
      <c r="A19" s="875" t="s">
        <v>139</v>
      </c>
      <c r="B19" s="857"/>
      <c r="C19" s="857"/>
      <c r="D19" s="857"/>
      <c r="E19" s="857"/>
      <c r="F19" s="857"/>
      <c r="G19" s="857"/>
      <c r="H19" s="857"/>
      <c r="I19" s="857"/>
      <c r="J19" s="857"/>
      <c r="K19" s="857"/>
      <c r="L19" s="858"/>
    </row>
    <row r="20" spans="1:12" ht="12.15" customHeight="1" thickBot="1" x14ac:dyDescent="0.35">
      <c r="A20" s="10"/>
      <c r="D20" s="16"/>
      <c r="L20" s="17"/>
    </row>
    <row r="21" spans="1:12" ht="12.15" customHeight="1" thickBot="1" x14ac:dyDescent="0.3">
      <c r="A21" s="12" t="s">
        <v>453</v>
      </c>
      <c r="B21" s="2"/>
      <c r="C21" t="s">
        <v>1</v>
      </c>
      <c r="J21" s="8">
        <f>'Maximum Rates'!D5</f>
        <v>122</v>
      </c>
      <c r="K21" s="602">
        <v>4</v>
      </c>
      <c r="L21" s="11">
        <f>(J21*K21)</f>
        <v>488</v>
      </c>
    </row>
    <row r="22" spans="1:12" ht="12.15" customHeight="1" x14ac:dyDescent="0.25">
      <c r="A22" s="10"/>
      <c r="C22" t="s">
        <v>143</v>
      </c>
      <c r="J22" s="8"/>
      <c r="L22" s="11"/>
    </row>
    <row r="23" spans="1:12" ht="12.15" customHeight="1" thickBot="1" x14ac:dyDescent="0.3">
      <c r="A23" s="10"/>
      <c r="C23" t="s">
        <v>22</v>
      </c>
      <c r="J23" s="8"/>
      <c r="L23" s="11"/>
    </row>
    <row r="24" spans="1:12" ht="12.15" customHeight="1" thickBot="1" x14ac:dyDescent="0.3">
      <c r="A24" s="12" t="s">
        <v>454</v>
      </c>
      <c r="B24" s="2"/>
      <c r="C24" t="s">
        <v>442</v>
      </c>
      <c r="J24" s="8">
        <f>'Maximum Rates'!D6</f>
        <v>140</v>
      </c>
      <c r="K24" s="602">
        <v>1</v>
      </c>
      <c r="L24" s="11">
        <f>(J24*K24)</f>
        <v>140</v>
      </c>
    </row>
    <row r="25" spans="1:12" ht="12.15" customHeight="1" x14ac:dyDescent="0.25">
      <c r="A25" s="10"/>
      <c r="C25" t="s">
        <v>22</v>
      </c>
      <c r="J25" s="8"/>
      <c r="L25" s="11"/>
    </row>
    <row r="26" spans="1:12" ht="12.15" customHeight="1" thickBot="1" x14ac:dyDescent="0.3">
      <c r="A26" s="10"/>
      <c r="J26" s="8"/>
      <c r="L26" s="11"/>
    </row>
    <row r="27" spans="1:12" ht="12.15" customHeight="1" thickBot="1" x14ac:dyDescent="0.3">
      <c r="A27" s="12" t="s">
        <v>455</v>
      </c>
      <c r="B27" s="2"/>
      <c r="C27" t="s">
        <v>597</v>
      </c>
      <c r="J27" s="8">
        <f>'Maximum Rates'!D7</f>
        <v>102</v>
      </c>
      <c r="K27" s="602">
        <v>6</v>
      </c>
      <c r="L27" s="11">
        <f>(J27*K27)</f>
        <v>612</v>
      </c>
    </row>
    <row r="28" spans="1:12" ht="12.15" customHeight="1" x14ac:dyDescent="0.25">
      <c r="A28" s="12" t="s">
        <v>218</v>
      </c>
      <c r="B28" s="2"/>
      <c r="C28" t="s">
        <v>22</v>
      </c>
      <c r="J28" s="8"/>
      <c r="L28" s="11"/>
    </row>
    <row r="29" spans="1:12" ht="12.15" customHeight="1" thickBot="1" x14ac:dyDescent="0.3">
      <c r="A29" s="10"/>
      <c r="J29" s="8"/>
      <c r="L29" s="11"/>
    </row>
    <row r="30" spans="1:12" ht="12.15" customHeight="1" thickBot="1" x14ac:dyDescent="0.3">
      <c r="A30" s="12" t="s">
        <v>456</v>
      </c>
      <c r="B30" s="2"/>
      <c r="C30" t="s">
        <v>599</v>
      </c>
      <c r="J30" s="8">
        <f>'Maximum Rates'!D10</f>
        <v>74</v>
      </c>
      <c r="K30" s="602">
        <v>2</v>
      </c>
      <c r="L30" s="11">
        <f>(J30*K30)</f>
        <v>148</v>
      </c>
    </row>
    <row r="31" spans="1:12" ht="12.15" customHeight="1" x14ac:dyDescent="0.25">
      <c r="A31" s="10"/>
      <c r="C31" t="s">
        <v>22</v>
      </c>
      <c r="J31" s="8"/>
      <c r="L31" s="11"/>
    </row>
    <row r="32" spans="1:12" ht="12.15" customHeight="1" thickBot="1" x14ac:dyDescent="0.3">
      <c r="A32" s="10"/>
      <c r="J32" s="8"/>
      <c r="L32" s="11"/>
    </row>
    <row r="33" spans="1:12" ht="12.15" customHeight="1" thickBot="1" x14ac:dyDescent="0.3">
      <c r="A33" s="12" t="s">
        <v>457</v>
      </c>
      <c r="B33" s="2"/>
      <c r="C33" t="s">
        <v>574</v>
      </c>
      <c r="J33" s="8">
        <f>'Maximum Rates'!D11</f>
        <v>60</v>
      </c>
      <c r="K33" s="602">
        <v>4</v>
      </c>
      <c r="L33" s="11">
        <f>(J33*K33)</f>
        <v>240</v>
      </c>
    </row>
    <row r="34" spans="1:12" ht="12.15" customHeight="1" thickBot="1" x14ac:dyDescent="0.3">
      <c r="A34" s="10"/>
      <c r="C34" t="s">
        <v>22</v>
      </c>
      <c r="L34" s="11"/>
    </row>
    <row r="35" spans="1:12" ht="12.15" customHeight="1" thickBot="1" x14ac:dyDescent="0.3">
      <c r="A35" s="13"/>
      <c r="B35" s="14"/>
      <c r="C35" s="14"/>
      <c r="D35" s="14"/>
      <c r="E35" s="14"/>
      <c r="F35" s="14"/>
      <c r="G35" s="563" t="s">
        <v>311</v>
      </c>
      <c r="H35" s="564"/>
      <c r="I35" s="564"/>
      <c r="J35" s="564"/>
      <c r="K35" s="548"/>
      <c r="L35" s="6">
        <f>SUM(L21:L34)</f>
        <v>1628</v>
      </c>
    </row>
    <row r="36" spans="1:12" ht="12.15" customHeight="1" thickBot="1" x14ac:dyDescent="0.3"/>
    <row r="37" spans="1:12" ht="18" customHeight="1" x14ac:dyDescent="0.3">
      <c r="A37" s="931" t="s">
        <v>1166</v>
      </c>
      <c r="B37" s="927"/>
      <c r="C37" s="927"/>
      <c r="D37" s="927"/>
      <c r="E37" s="927"/>
      <c r="F37" s="927"/>
      <c r="G37" s="927"/>
      <c r="H37" s="927"/>
      <c r="I37" s="927"/>
      <c r="J37" s="927"/>
      <c r="K37" s="927"/>
      <c r="L37" s="928"/>
    </row>
    <row r="38" spans="1:12" ht="12.15" customHeight="1" thickBot="1" x14ac:dyDescent="0.35">
      <c r="A38" s="10"/>
      <c r="D38" s="16"/>
      <c r="L38" s="17"/>
    </row>
    <row r="39" spans="1:12" ht="12.15" customHeight="1" thickBot="1" x14ac:dyDescent="0.3">
      <c r="A39" s="12" t="s">
        <v>453</v>
      </c>
      <c r="B39" s="2"/>
      <c r="C39" t="s">
        <v>492</v>
      </c>
      <c r="J39" s="8">
        <f>'Maximum Rates'!D5</f>
        <v>122</v>
      </c>
      <c r="K39" s="602">
        <v>5</v>
      </c>
      <c r="L39" s="11">
        <f>(J39*K39)</f>
        <v>610</v>
      </c>
    </row>
    <row r="40" spans="1:12" ht="12.15" customHeight="1" x14ac:dyDescent="0.25">
      <c r="A40" s="10"/>
      <c r="J40" s="8"/>
      <c r="L40" s="11"/>
    </row>
    <row r="41" spans="1:12" ht="12.15" customHeight="1" thickBot="1" x14ac:dyDescent="0.3">
      <c r="A41" s="10"/>
      <c r="C41" t="s">
        <v>22</v>
      </c>
      <c r="J41" s="8"/>
      <c r="L41" s="11"/>
    </row>
    <row r="42" spans="1:12" ht="12.15" customHeight="1" thickBot="1" x14ac:dyDescent="0.3">
      <c r="A42" s="12" t="s">
        <v>454</v>
      </c>
      <c r="B42" s="2"/>
      <c r="C42" t="s">
        <v>600</v>
      </c>
      <c r="J42" s="8">
        <f>'Maximum Rates'!D6</f>
        <v>140</v>
      </c>
      <c r="K42" s="602">
        <v>1</v>
      </c>
      <c r="L42" s="11">
        <f>(J42*K42)</f>
        <v>140</v>
      </c>
    </row>
    <row r="43" spans="1:12" ht="12.15" customHeight="1" x14ac:dyDescent="0.25">
      <c r="A43" s="10"/>
      <c r="C43" t="s">
        <v>22</v>
      </c>
      <c r="J43" s="8"/>
      <c r="L43" s="11"/>
    </row>
    <row r="44" spans="1:12" ht="12.15" customHeight="1" thickBot="1" x14ac:dyDescent="0.3">
      <c r="A44" s="10"/>
      <c r="J44" s="8"/>
      <c r="L44" s="11"/>
    </row>
    <row r="45" spans="1:12" ht="12.15" customHeight="1" thickBot="1" x14ac:dyDescent="0.3">
      <c r="A45" s="12" t="s">
        <v>455</v>
      </c>
      <c r="B45" s="2"/>
      <c r="C45" t="s">
        <v>598</v>
      </c>
      <c r="J45" s="8">
        <f>'Maximum Rates'!D7</f>
        <v>102</v>
      </c>
      <c r="K45" s="602">
        <v>3</v>
      </c>
      <c r="L45" s="11">
        <f>(J45*K45)</f>
        <v>306</v>
      </c>
    </row>
    <row r="46" spans="1:12" ht="12.15" customHeight="1" x14ac:dyDescent="0.25">
      <c r="A46" s="12" t="s">
        <v>218</v>
      </c>
      <c r="B46" s="2"/>
      <c r="C46" t="s">
        <v>22</v>
      </c>
      <c r="J46" s="8"/>
      <c r="L46" s="11"/>
    </row>
    <row r="47" spans="1:12" ht="12.15" customHeight="1" thickBot="1" x14ac:dyDescent="0.3">
      <c r="A47" s="10"/>
      <c r="J47" s="8"/>
      <c r="L47" s="11"/>
    </row>
    <row r="48" spans="1:12" ht="12.15" customHeight="1" thickBot="1" x14ac:dyDescent="0.3">
      <c r="A48" s="12" t="s">
        <v>456</v>
      </c>
      <c r="B48" s="2"/>
      <c r="C48" t="s">
        <v>142</v>
      </c>
      <c r="J48" s="8">
        <f>'Maximum Rates'!D10</f>
        <v>74</v>
      </c>
      <c r="K48" s="602">
        <v>1</v>
      </c>
      <c r="L48" s="11">
        <f>(J48*K48)</f>
        <v>74</v>
      </c>
    </row>
    <row r="49" spans="1:12" ht="12.15" customHeight="1" x14ac:dyDescent="0.25">
      <c r="A49" s="10"/>
      <c r="J49" s="8"/>
      <c r="L49" s="11"/>
    </row>
    <row r="50" spans="1:12" ht="12.15" customHeight="1" thickBot="1" x14ac:dyDescent="0.3">
      <c r="A50" s="10"/>
      <c r="J50" s="8"/>
      <c r="L50" s="11"/>
    </row>
    <row r="51" spans="1:12" ht="12.15" customHeight="1" thickBot="1" x14ac:dyDescent="0.3">
      <c r="A51" s="12" t="s">
        <v>457</v>
      </c>
      <c r="B51" s="2"/>
      <c r="C51" t="s">
        <v>125</v>
      </c>
      <c r="J51" s="8">
        <f>'Maximum Rates'!D11</f>
        <v>60</v>
      </c>
      <c r="K51" s="602">
        <v>2</v>
      </c>
      <c r="L51" s="11">
        <f>(J51*K51)</f>
        <v>120</v>
      </c>
    </row>
    <row r="52" spans="1:12" ht="12.15" customHeight="1" thickBot="1" x14ac:dyDescent="0.3">
      <c r="A52" s="10"/>
      <c r="C52" t="s">
        <v>22</v>
      </c>
      <c r="L52" s="11"/>
    </row>
    <row r="53" spans="1:12" ht="12.15" customHeight="1" thickBot="1" x14ac:dyDescent="0.3">
      <c r="A53" s="13"/>
      <c r="B53" s="14"/>
      <c r="C53" s="14"/>
      <c r="D53" s="14"/>
      <c r="E53" s="14"/>
      <c r="F53" s="14"/>
      <c r="G53" s="563" t="s">
        <v>312</v>
      </c>
      <c r="H53" s="564"/>
      <c r="I53" s="564"/>
      <c r="J53" s="564"/>
      <c r="K53" s="548"/>
      <c r="L53" s="6">
        <f>SUM(L39:L52)</f>
        <v>1250</v>
      </c>
    </row>
    <row r="54" spans="1:12" ht="12.15" customHeight="1" thickBot="1" x14ac:dyDescent="0.3"/>
    <row r="55" spans="1:12" ht="18" customHeight="1" x14ac:dyDescent="0.3">
      <c r="A55" s="931" t="s">
        <v>1110</v>
      </c>
      <c r="B55" s="929"/>
      <c r="C55" s="929"/>
      <c r="D55" s="929"/>
      <c r="E55" s="929"/>
      <c r="F55" s="929"/>
      <c r="G55" s="929"/>
      <c r="H55" s="929"/>
      <c r="I55" s="929"/>
      <c r="J55" s="929"/>
      <c r="K55" s="929"/>
      <c r="L55" s="930"/>
    </row>
    <row r="56" spans="1:12" ht="12.15" customHeight="1" thickBot="1" x14ac:dyDescent="0.35">
      <c r="A56" s="10"/>
      <c r="D56" s="16"/>
      <c r="L56" s="17"/>
    </row>
    <row r="57" spans="1:12" ht="12.15" customHeight="1" thickBot="1" x14ac:dyDescent="0.3">
      <c r="A57" s="12" t="s">
        <v>453</v>
      </c>
      <c r="B57" s="2"/>
      <c r="C57" t="s">
        <v>497</v>
      </c>
      <c r="J57" s="8">
        <f>'Maximum Rates'!D5</f>
        <v>122</v>
      </c>
      <c r="K57" s="602">
        <v>5</v>
      </c>
      <c r="L57" s="11">
        <f>(J57*K57)</f>
        <v>610</v>
      </c>
    </row>
    <row r="58" spans="1:12" ht="12.15" customHeight="1" x14ac:dyDescent="0.25">
      <c r="A58" s="10"/>
      <c r="C58" t="s">
        <v>141</v>
      </c>
      <c r="J58" s="8"/>
      <c r="L58" s="11"/>
    </row>
    <row r="59" spans="1:12" ht="12.15" customHeight="1" thickBot="1" x14ac:dyDescent="0.3">
      <c r="A59" s="10"/>
      <c r="C59" t="s">
        <v>22</v>
      </c>
      <c r="J59" s="8"/>
      <c r="L59" s="11"/>
    </row>
    <row r="60" spans="1:12" ht="12.15" customHeight="1" thickBot="1" x14ac:dyDescent="0.3">
      <c r="A60" s="12" t="s">
        <v>454</v>
      </c>
      <c r="B60" s="2"/>
      <c r="C60" t="s">
        <v>442</v>
      </c>
      <c r="J60" s="8">
        <f>'Maximum Rates'!D6</f>
        <v>140</v>
      </c>
      <c r="K60" s="602">
        <v>2</v>
      </c>
      <c r="L60" s="11">
        <f>(J60*K60)</f>
        <v>280</v>
      </c>
    </row>
    <row r="61" spans="1:12" ht="12.15" customHeight="1" x14ac:dyDescent="0.25">
      <c r="A61" s="10"/>
      <c r="C61" t="s">
        <v>22</v>
      </c>
      <c r="J61" s="8"/>
      <c r="L61" s="11"/>
    </row>
    <row r="62" spans="1:12" ht="12.15" customHeight="1" thickBot="1" x14ac:dyDescent="0.3">
      <c r="A62" s="10"/>
      <c r="J62" s="8"/>
      <c r="L62" s="11"/>
    </row>
    <row r="63" spans="1:12" ht="12.15" customHeight="1" thickBot="1" x14ac:dyDescent="0.3">
      <c r="A63" s="12" t="s">
        <v>455</v>
      </c>
      <c r="B63" s="2"/>
      <c r="C63" t="s">
        <v>594</v>
      </c>
      <c r="J63" s="8">
        <f>'Maximum Rates'!D7</f>
        <v>102</v>
      </c>
      <c r="K63" s="602">
        <v>6</v>
      </c>
      <c r="L63" s="11">
        <f>(J63*K63)</f>
        <v>612</v>
      </c>
    </row>
    <row r="64" spans="1:12" ht="12.15" customHeight="1" x14ac:dyDescent="0.25">
      <c r="A64" s="12" t="s">
        <v>218</v>
      </c>
      <c r="B64" s="2"/>
      <c r="C64" t="s">
        <v>22</v>
      </c>
      <c r="J64" s="8"/>
      <c r="L64" s="11"/>
    </row>
    <row r="65" spans="1:12" ht="12.15" customHeight="1" thickBot="1" x14ac:dyDescent="0.3">
      <c r="A65" s="10"/>
      <c r="J65" s="8"/>
      <c r="L65" s="11"/>
    </row>
    <row r="66" spans="1:12" ht="12.15" customHeight="1" thickBot="1" x14ac:dyDescent="0.3">
      <c r="A66" s="12" t="s">
        <v>456</v>
      </c>
      <c r="B66" s="2"/>
      <c r="C66" t="s">
        <v>147</v>
      </c>
      <c r="J66" s="8">
        <f>'Maximum Rates'!D10</f>
        <v>74</v>
      </c>
      <c r="K66" s="602">
        <v>3</v>
      </c>
      <c r="L66" s="11">
        <f>(J66*K66)</f>
        <v>222</v>
      </c>
    </row>
    <row r="67" spans="1:12" ht="12.15" customHeight="1" x14ac:dyDescent="0.25">
      <c r="A67" s="10"/>
      <c r="C67" t="s">
        <v>22</v>
      </c>
      <c r="J67" s="8"/>
      <c r="L67" s="11"/>
    </row>
    <row r="68" spans="1:12" ht="12.15" customHeight="1" thickBot="1" x14ac:dyDescent="0.3">
      <c r="A68" s="10"/>
      <c r="J68" s="8"/>
      <c r="L68" s="11"/>
    </row>
    <row r="69" spans="1:12" ht="12.15" customHeight="1" thickBot="1" x14ac:dyDescent="0.3">
      <c r="A69" s="12" t="s">
        <v>457</v>
      </c>
      <c r="B69" s="2"/>
      <c r="C69" t="s">
        <v>574</v>
      </c>
      <c r="J69" s="8">
        <f>'Maximum Rates'!D11</f>
        <v>60</v>
      </c>
      <c r="K69" s="602">
        <v>4</v>
      </c>
      <c r="L69" s="11">
        <f>(J69*K69)</f>
        <v>240</v>
      </c>
    </row>
    <row r="70" spans="1:12" ht="12.15" customHeight="1" thickBot="1" x14ac:dyDescent="0.3">
      <c r="A70" s="10"/>
      <c r="C70" s="609" t="s">
        <v>22</v>
      </c>
      <c r="D70" s="609"/>
      <c r="E70" s="609"/>
      <c r="F70" s="609"/>
      <c r="G70" s="609"/>
      <c r="H70" s="609"/>
      <c r="L70" s="11"/>
    </row>
    <row r="71" spans="1:12" ht="12.15" customHeight="1" thickBot="1" x14ac:dyDescent="0.3">
      <c r="A71" s="13"/>
      <c r="B71" s="14"/>
      <c r="C71" s="14"/>
      <c r="D71" s="14"/>
      <c r="E71" s="14"/>
      <c r="F71" s="563" t="s">
        <v>313</v>
      </c>
      <c r="G71" s="564"/>
      <c r="H71" s="564"/>
      <c r="I71" s="564"/>
      <c r="J71" s="564"/>
      <c r="K71" s="548"/>
      <c r="L71" s="6">
        <f>SUM(L57:L70)</f>
        <v>1964</v>
      </c>
    </row>
    <row r="72" spans="1:12" ht="12.15" customHeight="1" thickBot="1" x14ac:dyDescent="0.3">
      <c r="L72" s="36"/>
    </row>
    <row r="73" spans="1:12" ht="18" customHeight="1" x14ac:dyDescent="0.3">
      <c r="A73" s="875" t="s">
        <v>144</v>
      </c>
      <c r="B73" s="857"/>
      <c r="C73" s="857"/>
      <c r="D73" s="857"/>
      <c r="E73" s="857"/>
      <c r="F73" s="857"/>
      <c r="G73" s="857"/>
      <c r="H73" s="857"/>
      <c r="I73" s="857"/>
      <c r="J73" s="857"/>
      <c r="K73" s="857"/>
      <c r="L73" s="858"/>
    </row>
    <row r="74" spans="1:12" ht="12.15" customHeight="1" thickBot="1" x14ac:dyDescent="0.35">
      <c r="A74" s="10"/>
      <c r="D74" s="16"/>
      <c r="L74" s="17"/>
    </row>
    <row r="75" spans="1:12" ht="12.15" customHeight="1" thickBot="1" x14ac:dyDescent="0.3">
      <c r="A75" s="12" t="s">
        <v>453</v>
      </c>
      <c r="B75" s="2"/>
      <c r="C75" t="s">
        <v>492</v>
      </c>
      <c r="J75" s="8">
        <f>'Maximum Rates'!D5</f>
        <v>122</v>
      </c>
      <c r="K75" s="602">
        <v>5</v>
      </c>
      <c r="L75" s="11">
        <f>(J75*K75)</f>
        <v>610</v>
      </c>
    </row>
    <row r="76" spans="1:12" ht="12.15" customHeight="1" x14ac:dyDescent="0.25">
      <c r="A76" s="10"/>
      <c r="J76" s="8"/>
      <c r="L76" s="11"/>
    </row>
    <row r="77" spans="1:12" ht="12.15" customHeight="1" thickBot="1" x14ac:dyDescent="0.3">
      <c r="A77" s="10"/>
      <c r="C77" t="s">
        <v>22</v>
      </c>
      <c r="J77" s="8"/>
      <c r="L77" s="11"/>
    </row>
    <row r="78" spans="1:12" ht="12.15" customHeight="1" thickBot="1" x14ac:dyDescent="0.3">
      <c r="A78" s="12" t="s">
        <v>454</v>
      </c>
      <c r="B78" s="2"/>
      <c r="C78" t="s">
        <v>600</v>
      </c>
      <c r="J78" s="8">
        <f>'Maximum Rates'!D6</f>
        <v>140</v>
      </c>
      <c r="K78" s="602">
        <v>1</v>
      </c>
      <c r="L78" s="11">
        <f>(J78*K78)</f>
        <v>140</v>
      </c>
    </row>
    <row r="79" spans="1:12" ht="12.15" customHeight="1" x14ac:dyDescent="0.25">
      <c r="A79" s="10"/>
      <c r="C79" t="s">
        <v>22</v>
      </c>
      <c r="J79" s="8"/>
      <c r="L79" s="11"/>
    </row>
    <row r="80" spans="1:12" ht="12.15" customHeight="1" thickBot="1" x14ac:dyDescent="0.3">
      <c r="A80" s="10"/>
      <c r="J80" s="8"/>
      <c r="L80" s="11"/>
    </row>
    <row r="81" spans="1:12" ht="12.15" customHeight="1" thickBot="1" x14ac:dyDescent="0.3">
      <c r="A81" s="12" t="s">
        <v>455</v>
      </c>
      <c r="B81" s="2"/>
      <c r="C81" t="s">
        <v>598</v>
      </c>
      <c r="J81" s="8">
        <f>'Maximum Rates'!D7</f>
        <v>102</v>
      </c>
      <c r="K81" s="602">
        <v>3</v>
      </c>
      <c r="L81" s="11">
        <f>(J81*K81)</f>
        <v>306</v>
      </c>
    </row>
    <row r="82" spans="1:12" ht="12.15" customHeight="1" x14ac:dyDescent="0.25">
      <c r="A82" s="12" t="s">
        <v>218</v>
      </c>
      <c r="B82" s="2"/>
      <c r="C82" t="s">
        <v>22</v>
      </c>
      <c r="J82" s="8"/>
      <c r="L82" s="11"/>
    </row>
    <row r="83" spans="1:12" ht="12.15" customHeight="1" thickBot="1" x14ac:dyDescent="0.3">
      <c r="A83" s="10"/>
      <c r="J83" s="8"/>
      <c r="L83" s="11"/>
    </row>
    <row r="84" spans="1:12" ht="12.15" customHeight="1" thickBot="1" x14ac:dyDescent="0.3">
      <c r="A84" s="12" t="s">
        <v>456</v>
      </c>
      <c r="B84" s="2"/>
      <c r="C84" t="s">
        <v>142</v>
      </c>
      <c r="J84" s="8">
        <f>'Maximum Rates'!D10</f>
        <v>74</v>
      </c>
      <c r="K84" s="602">
        <v>1</v>
      </c>
      <c r="L84" s="11">
        <f>(J84*K84)</f>
        <v>74</v>
      </c>
    </row>
    <row r="85" spans="1:12" ht="12.15" customHeight="1" x14ac:dyDescent="0.25">
      <c r="A85" s="10"/>
      <c r="J85" s="8"/>
      <c r="L85" s="11"/>
    </row>
    <row r="86" spans="1:12" ht="12.15" customHeight="1" thickBot="1" x14ac:dyDescent="0.3">
      <c r="A86" s="10"/>
      <c r="J86" s="8"/>
      <c r="L86" s="11"/>
    </row>
    <row r="87" spans="1:12" ht="12.15" customHeight="1" thickBot="1" x14ac:dyDescent="0.3">
      <c r="A87" s="12" t="s">
        <v>457</v>
      </c>
      <c r="B87" s="2"/>
      <c r="C87" t="s">
        <v>125</v>
      </c>
      <c r="J87" s="8">
        <f>'Maximum Rates'!D11</f>
        <v>60</v>
      </c>
      <c r="K87" s="602">
        <v>2</v>
      </c>
      <c r="L87" s="11">
        <f>(J87*K87)</f>
        <v>120</v>
      </c>
    </row>
    <row r="88" spans="1:12" ht="12.15" customHeight="1" thickBot="1" x14ac:dyDescent="0.3">
      <c r="A88" s="10"/>
      <c r="C88" t="s">
        <v>22</v>
      </c>
      <c r="L88" s="11"/>
    </row>
    <row r="89" spans="1:12" ht="12.15" customHeight="1" thickBot="1" x14ac:dyDescent="0.3">
      <c r="A89" s="13"/>
      <c r="B89" s="14"/>
      <c r="C89" s="14"/>
      <c r="D89" s="14"/>
      <c r="E89" s="14"/>
      <c r="F89" s="14"/>
      <c r="G89" s="563" t="s">
        <v>312</v>
      </c>
      <c r="H89" s="564"/>
      <c r="I89" s="564"/>
      <c r="J89" s="564"/>
      <c r="K89" s="548"/>
      <c r="L89" s="6">
        <f>SUM(L75:L88)</f>
        <v>1250</v>
      </c>
    </row>
    <row r="90" spans="1:12" ht="12.15" customHeight="1" thickBot="1" x14ac:dyDescent="0.3"/>
    <row r="91" spans="1:12" ht="18" customHeight="1" x14ac:dyDescent="0.25">
      <c r="A91" s="875" t="s">
        <v>145</v>
      </c>
      <c r="B91" s="876"/>
      <c r="C91" s="876"/>
      <c r="D91" s="876"/>
      <c r="E91" s="876"/>
      <c r="F91" s="876"/>
      <c r="G91" s="876"/>
      <c r="H91" s="876"/>
      <c r="I91" s="876"/>
      <c r="J91" s="876"/>
      <c r="K91" s="876"/>
      <c r="L91" s="877"/>
    </row>
    <row r="92" spans="1:12" ht="12.15" customHeight="1" thickBot="1" x14ac:dyDescent="0.35">
      <c r="A92" s="10"/>
      <c r="D92" s="16"/>
      <c r="L92" s="17"/>
    </row>
    <row r="93" spans="1:12" ht="12.15" customHeight="1" thickBot="1" x14ac:dyDescent="0.3">
      <c r="A93" s="12" t="s">
        <v>453</v>
      </c>
      <c r="B93" s="2"/>
      <c r="C93" t="s">
        <v>497</v>
      </c>
      <c r="J93" s="8">
        <f>'Maximum Rates'!D5</f>
        <v>122</v>
      </c>
      <c r="K93" s="602">
        <v>5</v>
      </c>
      <c r="L93" s="11">
        <f>(J93*K93)</f>
        <v>610</v>
      </c>
    </row>
    <row r="94" spans="1:12" ht="12.15" customHeight="1" x14ac:dyDescent="0.25">
      <c r="A94" s="10"/>
      <c r="C94" t="s">
        <v>141</v>
      </c>
      <c r="J94" s="8"/>
      <c r="L94" s="11"/>
    </row>
    <row r="95" spans="1:12" ht="12.15" customHeight="1" thickBot="1" x14ac:dyDescent="0.3">
      <c r="A95" s="10"/>
      <c r="C95" t="s">
        <v>22</v>
      </c>
      <c r="J95" s="8"/>
      <c r="L95" s="11"/>
    </row>
    <row r="96" spans="1:12" ht="12.15" customHeight="1" thickBot="1" x14ac:dyDescent="0.3">
      <c r="A96" s="12" t="s">
        <v>454</v>
      </c>
      <c r="B96" s="2"/>
      <c r="C96" t="s">
        <v>442</v>
      </c>
      <c r="J96" s="8">
        <f>'Maximum Rates'!D6</f>
        <v>140</v>
      </c>
      <c r="K96" s="602">
        <v>2</v>
      </c>
      <c r="L96" s="11">
        <f>(J96*K96)</f>
        <v>280</v>
      </c>
    </row>
    <row r="97" spans="1:12" ht="12.15" customHeight="1" x14ac:dyDescent="0.25">
      <c r="A97" s="10"/>
      <c r="C97" t="s">
        <v>22</v>
      </c>
      <c r="J97" s="8"/>
      <c r="L97" s="11"/>
    </row>
    <row r="98" spans="1:12" ht="12.15" customHeight="1" thickBot="1" x14ac:dyDescent="0.3">
      <c r="A98" s="10"/>
      <c r="J98" s="8"/>
      <c r="L98" s="11"/>
    </row>
    <row r="99" spans="1:12" ht="12.15" customHeight="1" thickBot="1" x14ac:dyDescent="0.3">
      <c r="A99" s="12" t="s">
        <v>455</v>
      </c>
      <c r="B99" s="2"/>
      <c r="C99" t="s">
        <v>594</v>
      </c>
      <c r="J99" s="8">
        <f>'Maximum Rates'!D7</f>
        <v>102</v>
      </c>
      <c r="K99" s="602">
        <v>6</v>
      </c>
      <c r="L99" s="11">
        <f>(J99*K99)</f>
        <v>612</v>
      </c>
    </row>
    <row r="100" spans="1:12" ht="12.15" customHeight="1" x14ac:dyDescent="0.25">
      <c r="A100" s="12" t="s">
        <v>218</v>
      </c>
      <c r="B100" s="2"/>
      <c r="C100" t="s">
        <v>22</v>
      </c>
      <c r="J100" s="8"/>
      <c r="L100" s="11"/>
    </row>
    <row r="101" spans="1:12" ht="12.15" customHeight="1" thickBot="1" x14ac:dyDescent="0.3">
      <c r="A101" s="10"/>
      <c r="J101" s="8"/>
      <c r="L101" s="11"/>
    </row>
    <row r="102" spans="1:12" ht="12.15" customHeight="1" thickBot="1" x14ac:dyDescent="0.3">
      <c r="A102" s="12" t="s">
        <v>456</v>
      </c>
      <c r="B102" s="2"/>
      <c r="C102" t="s">
        <v>147</v>
      </c>
      <c r="J102" s="8">
        <f>'Maximum Rates'!D10</f>
        <v>74</v>
      </c>
      <c r="K102" s="602">
        <v>3</v>
      </c>
      <c r="L102" s="11">
        <f>(J102*K102)</f>
        <v>222</v>
      </c>
    </row>
    <row r="103" spans="1:12" ht="12.15" customHeight="1" x14ac:dyDescent="0.25">
      <c r="A103" s="10"/>
      <c r="C103" t="s">
        <v>22</v>
      </c>
      <c r="J103" s="8"/>
      <c r="L103" s="11"/>
    </row>
    <row r="104" spans="1:12" ht="12.15" customHeight="1" thickBot="1" x14ac:dyDescent="0.3">
      <c r="A104" s="10"/>
      <c r="J104" s="8"/>
      <c r="L104" s="11"/>
    </row>
    <row r="105" spans="1:12" ht="12.15" customHeight="1" thickBot="1" x14ac:dyDescent="0.3">
      <c r="A105" s="12" t="s">
        <v>457</v>
      </c>
      <c r="B105" s="2"/>
      <c r="C105" t="s">
        <v>574</v>
      </c>
      <c r="J105" s="8">
        <f>'Maximum Rates'!D11</f>
        <v>60</v>
      </c>
      <c r="K105" s="602">
        <v>4</v>
      </c>
      <c r="L105" s="11">
        <f>(J105*K105)</f>
        <v>240</v>
      </c>
    </row>
    <row r="106" spans="1:12" ht="12.15" customHeight="1" thickBot="1" x14ac:dyDescent="0.3">
      <c r="A106" s="10"/>
      <c r="C106" s="609" t="s">
        <v>22</v>
      </c>
      <c r="D106" s="609"/>
      <c r="E106" s="609"/>
      <c r="F106" s="609"/>
      <c r="G106" s="609"/>
      <c r="H106" s="609"/>
      <c r="L106" s="11"/>
    </row>
    <row r="107" spans="1:12" ht="12.15" customHeight="1" thickBot="1" x14ac:dyDescent="0.3">
      <c r="A107" s="13"/>
      <c r="B107" s="14"/>
      <c r="C107" s="14"/>
      <c r="D107" s="14"/>
      <c r="E107" s="14"/>
      <c r="F107" s="563" t="s">
        <v>313</v>
      </c>
      <c r="G107" s="564"/>
      <c r="H107" s="564"/>
      <c r="I107" s="564"/>
      <c r="J107" s="564"/>
      <c r="K107" s="548"/>
      <c r="L107" s="6">
        <f>SUM(L93:L106)</f>
        <v>1964</v>
      </c>
    </row>
    <row r="108" spans="1:12" ht="12.15" customHeight="1" thickBot="1" x14ac:dyDescent="0.3"/>
    <row r="109" spans="1:12" ht="18" customHeight="1" x14ac:dyDescent="0.3">
      <c r="A109" s="875" t="s">
        <v>1167</v>
      </c>
      <c r="B109" s="857"/>
      <c r="C109" s="857"/>
      <c r="D109" s="857"/>
      <c r="E109" s="857"/>
      <c r="F109" s="857"/>
      <c r="G109" s="857"/>
      <c r="H109" s="857"/>
      <c r="I109" s="857"/>
      <c r="J109" s="857"/>
      <c r="K109" s="857"/>
      <c r="L109" s="858"/>
    </row>
    <row r="110" spans="1:12" ht="12.15" customHeight="1" thickBot="1" x14ac:dyDescent="0.35">
      <c r="A110" s="10"/>
      <c r="D110" s="16"/>
      <c r="L110" s="17"/>
    </row>
    <row r="111" spans="1:12" ht="12.15" customHeight="1" thickBot="1" x14ac:dyDescent="0.3">
      <c r="A111" s="12" t="s">
        <v>453</v>
      </c>
      <c r="B111" s="2"/>
      <c r="C111" t="s">
        <v>492</v>
      </c>
      <c r="J111" s="8">
        <f>'Maximum Rates'!D5</f>
        <v>122</v>
      </c>
      <c r="K111" s="602">
        <v>5</v>
      </c>
      <c r="L111" s="11">
        <f>(J111*K111)</f>
        <v>610</v>
      </c>
    </row>
    <row r="112" spans="1:12" ht="12.15" customHeight="1" x14ac:dyDescent="0.25">
      <c r="A112" s="10"/>
      <c r="J112" s="8"/>
      <c r="L112" s="11"/>
    </row>
    <row r="113" spans="1:12" ht="12.15" customHeight="1" thickBot="1" x14ac:dyDescent="0.3">
      <c r="A113" s="10"/>
      <c r="C113" t="s">
        <v>22</v>
      </c>
      <c r="J113" s="8"/>
      <c r="L113" s="11"/>
    </row>
    <row r="114" spans="1:12" ht="12.15" customHeight="1" thickBot="1" x14ac:dyDescent="0.3">
      <c r="A114" s="12" t="s">
        <v>454</v>
      </c>
      <c r="B114" s="2"/>
      <c r="C114" t="s">
        <v>600</v>
      </c>
      <c r="J114" s="8">
        <f>'Maximum Rates'!D6</f>
        <v>140</v>
      </c>
      <c r="K114" s="602">
        <v>1</v>
      </c>
      <c r="L114" s="11">
        <f>(J114*K114)</f>
        <v>140</v>
      </c>
    </row>
    <row r="115" spans="1:12" ht="12.15" customHeight="1" x14ac:dyDescent="0.25">
      <c r="A115" s="10"/>
      <c r="C115" t="s">
        <v>22</v>
      </c>
      <c r="J115" s="8"/>
      <c r="L115" s="11"/>
    </row>
    <row r="116" spans="1:12" ht="12.15" customHeight="1" thickBot="1" x14ac:dyDescent="0.3">
      <c r="A116" s="10"/>
      <c r="J116" s="8"/>
      <c r="L116" s="11"/>
    </row>
    <row r="117" spans="1:12" ht="12.15" customHeight="1" thickBot="1" x14ac:dyDescent="0.3">
      <c r="A117" s="12" t="s">
        <v>455</v>
      </c>
      <c r="B117" s="2"/>
      <c r="C117" t="s">
        <v>598</v>
      </c>
      <c r="J117" s="8">
        <f>'Maximum Rates'!D7</f>
        <v>102</v>
      </c>
      <c r="K117" s="602">
        <v>3</v>
      </c>
      <c r="L117" s="11">
        <f>(J117*K117)</f>
        <v>306</v>
      </c>
    </row>
    <row r="118" spans="1:12" ht="12.15" customHeight="1" x14ac:dyDescent="0.25">
      <c r="A118" s="12" t="s">
        <v>218</v>
      </c>
      <c r="B118" s="2"/>
      <c r="C118" t="s">
        <v>22</v>
      </c>
      <c r="J118" s="8"/>
      <c r="L118" s="11"/>
    </row>
    <row r="119" spans="1:12" ht="12.15" customHeight="1" thickBot="1" x14ac:dyDescent="0.3">
      <c r="A119" s="10"/>
      <c r="J119" s="8"/>
      <c r="L119" s="11"/>
    </row>
    <row r="120" spans="1:12" ht="12.15" customHeight="1" thickBot="1" x14ac:dyDescent="0.3">
      <c r="A120" s="12" t="s">
        <v>456</v>
      </c>
      <c r="B120" s="2"/>
      <c r="C120" t="s">
        <v>142</v>
      </c>
      <c r="J120" s="8">
        <f>'Maximum Rates'!D10</f>
        <v>74</v>
      </c>
      <c r="K120" s="602">
        <v>1</v>
      </c>
      <c r="L120" s="11">
        <f>(J120*K120)</f>
        <v>74</v>
      </c>
    </row>
    <row r="121" spans="1:12" ht="12.15" customHeight="1" x14ac:dyDescent="0.25">
      <c r="A121" s="10"/>
      <c r="J121" s="8"/>
      <c r="L121" s="11"/>
    </row>
    <row r="122" spans="1:12" ht="12.15" customHeight="1" thickBot="1" x14ac:dyDescent="0.3">
      <c r="A122" s="10"/>
      <c r="J122" s="8"/>
      <c r="L122" s="11"/>
    </row>
    <row r="123" spans="1:12" ht="12.15" customHeight="1" thickBot="1" x14ac:dyDescent="0.3">
      <c r="A123" s="12" t="s">
        <v>457</v>
      </c>
      <c r="B123" s="2"/>
      <c r="C123" t="s">
        <v>125</v>
      </c>
      <c r="J123" s="8">
        <f>'Maximum Rates'!D11</f>
        <v>60</v>
      </c>
      <c r="K123" s="602">
        <v>2</v>
      </c>
      <c r="L123" s="11">
        <f>(J123*K123)</f>
        <v>120</v>
      </c>
    </row>
    <row r="124" spans="1:12" ht="12.15" customHeight="1" thickBot="1" x14ac:dyDescent="0.3">
      <c r="A124" s="10"/>
      <c r="C124" t="s">
        <v>22</v>
      </c>
      <c r="L124" s="11"/>
    </row>
    <row r="125" spans="1:12" ht="12.15" customHeight="1" thickBot="1" x14ac:dyDescent="0.3">
      <c r="A125" s="13"/>
      <c r="B125" s="14"/>
      <c r="C125" s="14"/>
      <c r="D125" s="14"/>
      <c r="E125" s="14"/>
      <c r="F125" s="14"/>
      <c r="G125" s="563" t="s">
        <v>312</v>
      </c>
      <c r="H125" s="564"/>
      <c r="I125" s="564"/>
      <c r="J125" s="564"/>
      <c r="K125" s="548"/>
      <c r="L125" s="6">
        <f>SUM(L111:L124)</f>
        <v>1250</v>
      </c>
    </row>
    <row r="126" spans="1:12" ht="12.15" customHeight="1" thickBot="1" x14ac:dyDescent="0.3"/>
    <row r="127" spans="1:12" ht="18" customHeight="1" x14ac:dyDescent="0.3">
      <c r="A127" s="856" t="s">
        <v>146</v>
      </c>
      <c r="B127" s="857"/>
      <c r="C127" s="857"/>
      <c r="D127" s="857"/>
      <c r="E127" s="857"/>
      <c r="F127" s="857"/>
      <c r="G127" s="857"/>
      <c r="H127" s="857"/>
      <c r="I127" s="857"/>
      <c r="J127" s="857"/>
      <c r="K127" s="857"/>
      <c r="L127" s="858"/>
    </row>
    <row r="128" spans="1:12" ht="12.15" customHeight="1" thickBot="1" x14ac:dyDescent="0.35">
      <c r="A128" s="10"/>
      <c r="D128" s="16"/>
      <c r="L128" s="17"/>
    </row>
    <row r="129" spans="1:12" ht="12.15" customHeight="1" thickBot="1" x14ac:dyDescent="0.3">
      <c r="A129" s="12" t="s">
        <v>453</v>
      </c>
      <c r="B129" s="2"/>
      <c r="C129" t="s">
        <v>497</v>
      </c>
      <c r="J129" s="8">
        <f>'Maximum Rates'!D5</f>
        <v>122</v>
      </c>
      <c r="K129" s="602">
        <v>5</v>
      </c>
      <c r="L129" s="11">
        <f>(J129*K129)</f>
        <v>610</v>
      </c>
    </row>
    <row r="130" spans="1:12" ht="12.15" customHeight="1" x14ac:dyDescent="0.25">
      <c r="A130" s="10"/>
      <c r="C130" t="s">
        <v>141</v>
      </c>
      <c r="J130" s="8"/>
      <c r="L130" s="11"/>
    </row>
    <row r="131" spans="1:12" ht="12.15" customHeight="1" thickBot="1" x14ac:dyDescent="0.3">
      <c r="A131" s="10"/>
      <c r="C131" t="s">
        <v>22</v>
      </c>
      <c r="J131" s="8"/>
      <c r="L131" s="11"/>
    </row>
    <row r="132" spans="1:12" ht="12.15" customHeight="1" thickBot="1" x14ac:dyDescent="0.3">
      <c r="A132" s="12" t="s">
        <v>454</v>
      </c>
      <c r="B132" s="2"/>
      <c r="C132" t="s">
        <v>442</v>
      </c>
      <c r="J132" s="8">
        <f>'Maximum Rates'!D6</f>
        <v>140</v>
      </c>
      <c r="K132" s="602">
        <v>2</v>
      </c>
      <c r="L132" s="11">
        <f>(J132*K132)</f>
        <v>280</v>
      </c>
    </row>
    <row r="133" spans="1:12" ht="12.15" customHeight="1" x14ac:dyDescent="0.25">
      <c r="A133" s="10"/>
      <c r="C133" t="s">
        <v>22</v>
      </c>
      <c r="J133" s="8"/>
      <c r="L133" s="11"/>
    </row>
    <row r="134" spans="1:12" ht="12.15" customHeight="1" thickBot="1" x14ac:dyDescent="0.3">
      <c r="A134" s="10"/>
      <c r="J134" s="8"/>
      <c r="L134" s="11"/>
    </row>
    <row r="135" spans="1:12" ht="12.15" customHeight="1" thickBot="1" x14ac:dyDescent="0.3">
      <c r="A135" s="12" t="s">
        <v>455</v>
      </c>
      <c r="B135" s="2"/>
      <c r="C135" t="s">
        <v>594</v>
      </c>
      <c r="J135" s="8">
        <f>'Maximum Rates'!D7</f>
        <v>102</v>
      </c>
      <c r="K135" s="602">
        <v>8</v>
      </c>
      <c r="L135" s="11">
        <f>(J135*K135)</f>
        <v>816</v>
      </c>
    </row>
    <row r="136" spans="1:12" ht="12.15" customHeight="1" x14ac:dyDescent="0.25">
      <c r="A136" s="12" t="s">
        <v>218</v>
      </c>
      <c r="B136" s="2"/>
      <c r="C136" t="s">
        <v>22</v>
      </c>
      <c r="J136" s="8"/>
      <c r="L136" s="11"/>
    </row>
    <row r="137" spans="1:12" ht="12.15" customHeight="1" thickBot="1" x14ac:dyDescent="0.3">
      <c r="A137" s="10"/>
      <c r="J137" s="8"/>
      <c r="L137" s="11"/>
    </row>
    <row r="138" spans="1:12" ht="12.15" customHeight="1" thickBot="1" x14ac:dyDescent="0.3">
      <c r="A138" s="12" t="s">
        <v>456</v>
      </c>
      <c r="B138" s="2"/>
      <c r="C138" t="s">
        <v>147</v>
      </c>
      <c r="J138" s="8">
        <f>'Maximum Rates'!D10</f>
        <v>74</v>
      </c>
      <c r="K138" s="602">
        <v>3</v>
      </c>
      <c r="L138" s="11">
        <f>(J138*K138)</f>
        <v>222</v>
      </c>
    </row>
    <row r="139" spans="1:12" ht="12.15" customHeight="1" x14ac:dyDescent="0.25">
      <c r="A139" s="10"/>
      <c r="C139" t="s">
        <v>22</v>
      </c>
      <c r="J139" s="8"/>
      <c r="L139" s="11"/>
    </row>
    <row r="140" spans="1:12" ht="12.15" customHeight="1" thickBot="1" x14ac:dyDescent="0.3">
      <c r="A140" s="10"/>
      <c r="J140" s="8"/>
      <c r="L140" s="11"/>
    </row>
    <row r="141" spans="1:12" ht="12.15" customHeight="1" thickBot="1" x14ac:dyDescent="0.3">
      <c r="A141" s="12" t="s">
        <v>457</v>
      </c>
      <c r="B141" s="2"/>
      <c r="C141" t="s">
        <v>574</v>
      </c>
      <c r="J141" s="8">
        <f>'Maximum Rates'!D11</f>
        <v>60</v>
      </c>
      <c r="K141" s="602">
        <v>4</v>
      </c>
      <c r="L141" s="11">
        <f>(J141*K141)</f>
        <v>240</v>
      </c>
    </row>
    <row r="142" spans="1:12" ht="12.15" customHeight="1" thickBot="1" x14ac:dyDescent="0.3">
      <c r="A142" s="10"/>
      <c r="C142" s="609" t="s">
        <v>22</v>
      </c>
      <c r="D142" s="609"/>
      <c r="E142" s="609"/>
      <c r="F142" s="609"/>
      <c r="G142" s="609"/>
      <c r="H142" s="609"/>
      <c r="L142" s="11"/>
    </row>
    <row r="143" spans="1:12" ht="12.15" customHeight="1" thickBot="1" x14ac:dyDescent="0.3">
      <c r="A143" s="13"/>
      <c r="B143" s="14"/>
      <c r="C143" s="14"/>
      <c r="D143" s="14"/>
      <c r="E143" s="14"/>
      <c r="F143" s="563" t="s">
        <v>313</v>
      </c>
      <c r="G143" s="564"/>
      <c r="H143" s="564"/>
      <c r="I143" s="564"/>
      <c r="J143" s="564"/>
      <c r="K143" s="548"/>
      <c r="L143" s="6">
        <f>SUM(L129:L142)</f>
        <v>2168</v>
      </c>
    </row>
    <row r="144" spans="1:12" ht="12.15" customHeight="1" x14ac:dyDescent="0.25"/>
    <row r="145" ht="12.15" customHeight="1" x14ac:dyDescent="0.25"/>
    <row r="146" ht="12.15" customHeight="1" x14ac:dyDescent="0.25"/>
    <row r="147" ht="12.15" customHeight="1" x14ac:dyDescent="0.25"/>
    <row r="148" ht="12.15" customHeight="1" x14ac:dyDescent="0.25"/>
    <row r="149" ht="12.15" customHeight="1" x14ac:dyDescent="0.25"/>
    <row r="150" ht="12.15" customHeight="1" x14ac:dyDescent="0.25"/>
    <row r="151" ht="12.15" customHeight="1" x14ac:dyDescent="0.25"/>
    <row r="152" ht="12.15" customHeight="1" x14ac:dyDescent="0.25"/>
    <row r="153" ht="12.15" customHeight="1" x14ac:dyDescent="0.25"/>
    <row r="154" ht="12.15" customHeight="1" x14ac:dyDescent="0.25"/>
    <row r="155" ht="12.15" customHeight="1" x14ac:dyDescent="0.25"/>
    <row r="156" ht="12.15" customHeight="1" x14ac:dyDescent="0.25"/>
    <row r="157" ht="12.15" customHeight="1" x14ac:dyDescent="0.25"/>
    <row r="158" ht="12.15" customHeight="1" x14ac:dyDescent="0.25"/>
    <row r="159" ht="12.15" customHeight="1" x14ac:dyDescent="0.25"/>
    <row r="160" ht="12.15" customHeight="1" x14ac:dyDescent="0.25"/>
    <row r="161" ht="12.15" customHeight="1" x14ac:dyDescent="0.25"/>
    <row r="162" ht="12.15" customHeight="1" x14ac:dyDescent="0.25"/>
    <row r="163" ht="12.15" customHeight="1" x14ac:dyDescent="0.25"/>
    <row r="164" ht="12.15" customHeight="1" x14ac:dyDescent="0.25"/>
    <row r="165" ht="12.15" customHeight="1" x14ac:dyDescent="0.25"/>
    <row r="166" ht="12.15" customHeight="1" x14ac:dyDescent="0.25"/>
    <row r="167" ht="12.15" customHeight="1" x14ac:dyDescent="0.25"/>
    <row r="168" ht="12.15" customHeight="1" x14ac:dyDescent="0.25"/>
    <row r="169" ht="12.15" customHeight="1" x14ac:dyDescent="0.25"/>
    <row r="170" ht="12.15" customHeight="1" x14ac:dyDescent="0.25"/>
    <row r="171" ht="12.15" customHeight="1" x14ac:dyDescent="0.25"/>
    <row r="172" ht="12.15" customHeight="1" x14ac:dyDescent="0.25"/>
    <row r="173" ht="12.15" customHeight="1" x14ac:dyDescent="0.25"/>
    <row r="174" ht="12.15" customHeight="1" x14ac:dyDescent="0.25"/>
    <row r="175" ht="12.15" customHeight="1" x14ac:dyDescent="0.25"/>
    <row r="176" ht="12.15" customHeight="1" x14ac:dyDescent="0.25"/>
    <row r="177" ht="12.15" customHeight="1" x14ac:dyDescent="0.25"/>
    <row r="178" ht="12.15" customHeight="1" x14ac:dyDescent="0.25"/>
    <row r="179" ht="12.15" customHeight="1" x14ac:dyDescent="0.25"/>
    <row r="180" ht="12.15" customHeight="1" x14ac:dyDescent="0.25"/>
    <row r="181" ht="12.15" customHeight="1" x14ac:dyDescent="0.25"/>
    <row r="182" ht="12.15" customHeight="1" x14ac:dyDescent="0.25"/>
    <row r="183" ht="12.15" customHeight="1" x14ac:dyDescent="0.25"/>
    <row r="184" ht="12.15" customHeight="1" x14ac:dyDescent="0.25"/>
    <row r="185" ht="12.15" customHeight="1" x14ac:dyDescent="0.25"/>
    <row r="186" ht="12.15" customHeight="1" x14ac:dyDescent="0.25"/>
    <row r="187" ht="12.15" customHeight="1" x14ac:dyDescent="0.25"/>
    <row r="188" ht="12.15" customHeight="1" x14ac:dyDescent="0.25"/>
    <row r="189" ht="12.15" customHeight="1" x14ac:dyDescent="0.25"/>
    <row r="190" ht="12.15" customHeight="1" x14ac:dyDescent="0.25"/>
    <row r="191" ht="12.15" customHeight="1" x14ac:dyDescent="0.25"/>
    <row r="192" ht="12.15" customHeight="1" x14ac:dyDescent="0.25"/>
    <row r="193" ht="12.15" customHeight="1" x14ac:dyDescent="0.25"/>
    <row r="194" ht="12.15" customHeight="1" x14ac:dyDescent="0.25"/>
    <row r="195" ht="12.15" customHeight="1" x14ac:dyDescent="0.25"/>
    <row r="196" ht="12.15" customHeight="1" x14ac:dyDescent="0.25"/>
    <row r="197" ht="12.15" customHeight="1" x14ac:dyDescent="0.25"/>
    <row r="198" ht="12.15" customHeight="1" x14ac:dyDescent="0.25"/>
    <row r="199" ht="12.15" customHeight="1" x14ac:dyDescent="0.25"/>
    <row r="200" ht="12.15" customHeight="1" x14ac:dyDescent="0.25"/>
    <row r="201" ht="12.15" customHeight="1" x14ac:dyDescent="0.25"/>
    <row r="202" ht="12.15" customHeight="1" x14ac:dyDescent="0.25"/>
    <row r="203" ht="12.15" customHeight="1" x14ac:dyDescent="0.25"/>
    <row r="204" ht="12.15" customHeight="1" x14ac:dyDescent="0.25"/>
    <row r="205" ht="12.15" customHeight="1" x14ac:dyDescent="0.25"/>
    <row r="206" ht="12.15" customHeight="1" x14ac:dyDescent="0.25"/>
    <row r="207" ht="12.15" customHeight="1" x14ac:dyDescent="0.25"/>
    <row r="208" ht="12.15" customHeight="1" x14ac:dyDescent="0.25"/>
    <row r="209" ht="12.15" customHeight="1" x14ac:dyDescent="0.25"/>
    <row r="210" ht="12.15" customHeight="1" x14ac:dyDescent="0.25"/>
    <row r="211" ht="12.15" customHeight="1" x14ac:dyDescent="0.25"/>
    <row r="212" ht="12.15" customHeight="1" x14ac:dyDescent="0.25"/>
    <row r="213" ht="12.15" customHeight="1" x14ac:dyDescent="0.25"/>
    <row r="214" ht="12.15" customHeight="1" x14ac:dyDescent="0.25"/>
    <row r="215" ht="12.15" customHeight="1" x14ac:dyDescent="0.25"/>
    <row r="216" ht="12.15" customHeight="1" x14ac:dyDescent="0.25"/>
    <row r="217" ht="12.15" customHeight="1" x14ac:dyDescent="0.25"/>
    <row r="218" ht="12.15" customHeight="1" x14ac:dyDescent="0.25"/>
    <row r="219" ht="12.15" customHeight="1" x14ac:dyDescent="0.25"/>
    <row r="220" ht="12.15" customHeight="1" x14ac:dyDescent="0.25"/>
    <row r="221" ht="12.15" customHeight="1" x14ac:dyDescent="0.25"/>
    <row r="222" ht="12.15" customHeight="1" x14ac:dyDescent="0.25"/>
    <row r="223" ht="12.15" customHeight="1" x14ac:dyDescent="0.25"/>
    <row r="224" ht="12.15" customHeight="1" x14ac:dyDescent="0.25"/>
    <row r="225" ht="12.15" customHeight="1" x14ac:dyDescent="0.25"/>
    <row r="226" ht="12.15" customHeight="1" x14ac:dyDescent="0.25"/>
    <row r="227" ht="12.15" customHeight="1" x14ac:dyDescent="0.25"/>
    <row r="228" ht="12.15" customHeight="1" x14ac:dyDescent="0.25"/>
    <row r="229" ht="12.15" customHeight="1" x14ac:dyDescent="0.25"/>
    <row r="230" ht="12.15" customHeight="1" x14ac:dyDescent="0.25"/>
    <row r="231" ht="12.15" customHeight="1" x14ac:dyDescent="0.25"/>
    <row r="232" ht="12.15" customHeight="1" x14ac:dyDescent="0.25"/>
    <row r="233" ht="12.15" customHeight="1" x14ac:dyDescent="0.25"/>
    <row r="234" ht="12.15" customHeight="1" x14ac:dyDescent="0.25"/>
    <row r="235" ht="12.15" customHeight="1" x14ac:dyDescent="0.25"/>
    <row r="236" ht="12.15" customHeight="1" x14ac:dyDescent="0.25"/>
    <row r="237" ht="12.15" customHeight="1" x14ac:dyDescent="0.25"/>
    <row r="238" ht="12.15" customHeight="1" x14ac:dyDescent="0.25"/>
    <row r="239" ht="12.15" customHeight="1" x14ac:dyDescent="0.25"/>
    <row r="240" ht="12.15" customHeight="1" x14ac:dyDescent="0.25"/>
    <row r="241" ht="12.15" customHeight="1" x14ac:dyDescent="0.25"/>
    <row r="242" ht="12.15" customHeight="1" x14ac:dyDescent="0.25"/>
    <row r="243" ht="12.15" customHeight="1" x14ac:dyDescent="0.25"/>
    <row r="244" ht="12.15" customHeight="1" x14ac:dyDescent="0.25"/>
    <row r="245" ht="12.15" customHeight="1" x14ac:dyDescent="0.25"/>
    <row r="246" ht="12.15" customHeight="1" x14ac:dyDescent="0.25"/>
    <row r="247" ht="12.15" customHeight="1" x14ac:dyDescent="0.25"/>
    <row r="248" ht="12.15" customHeight="1" x14ac:dyDescent="0.25"/>
    <row r="249" ht="12.15" customHeight="1" x14ac:dyDescent="0.25"/>
    <row r="250" ht="12.15" customHeight="1" x14ac:dyDescent="0.25"/>
    <row r="251" ht="12.15" customHeight="1" x14ac:dyDescent="0.25"/>
    <row r="252" ht="12.15" customHeight="1" x14ac:dyDescent="0.25"/>
  </sheetData>
  <sheetProtection password="DC01" sheet="1" objects="1" scenarios="1" selectLockedCells="1"/>
  <customSheetViews>
    <customSheetView guid="{BC429C65-53B8-4F97-88D2-74ECCD734800}" scale="80" showGridLines="0" showRowCol="0" state="hidden">
      <selection activeCell="L6" sqref="L6"/>
      <rowBreaks count="1" manualBreakCount="1">
        <brk id="57" max="16383" man="1"/>
      </rowBreaks>
      <pageMargins left="0.25" right="0.25" top="1" bottom="0.25" header="0.5" footer="0.5"/>
      <printOptions horizontalCentered="1"/>
      <pageSetup scale="83" orientation="portrait" r:id="rId1"/>
      <headerFooter alignWithMargins="0"/>
    </customSheetView>
  </customSheetViews>
  <phoneticPr fontId="4" type="noConversion"/>
  <printOptions horizontalCentered="1"/>
  <pageMargins left="0.25" right="0.25" top="0.75" bottom="0.25" header="0.17" footer="0.5"/>
  <pageSetup orientation="portrait" r:id="rId2"/>
  <headerFooter alignWithMargins="0">
    <oddHeader>&amp;C&amp;18Units for Pilot Testing</oddHeader>
  </headerFooter>
  <rowBreaks count="2" manualBreakCount="2">
    <brk id="54" max="16383" man="1"/>
    <brk id="10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tabColor theme="3" tint="0.79998168889431442"/>
  </sheetPr>
  <dimension ref="A1:L279"/>
  <sheetViews>
    <sheetView showGridLines="0" showRowColHeaders="0" showRuler="0" view="pageLayout" zoomScaleNormal="100" workbookViewId="0">
      <selection activeCell="E8" sqref="E8:I10"/>
    </sheetView>
  </sheetViews>
  <sheetFormatPr defaultColWidth="7.44140625" defaultRowHeight="13.2" x14ac:dyDescent="0.25"/>
  <cols>
    <col min="1" max="8" width="8.5546875" style="44" customWidth="1"/>
    <col min="9" max="9" width="6.44140625" style="44" customWidth="1"/>
    <col min="10" max="10" width="8.5546875" style="44" customWidth="1"/>
    <col min="11" max="11" width="7.6640625" style="915" customWidth="1"/>
    <col min="12" max="12" width="11.33203125" style="44" customWidth="1"/>
    <col min="13" max="16384" width="7.44140625" style="44"/>
  </cols>
  <sheetData>
    <row r="1" spans="1:12" ht="18" customHeight="1" x14ac:dyDescent="0.25">
      <c r="A1" s="875" t="s">
        <v>1168</v>
      </c>
      <c r="B1" s="860"/>
      <c r="C1" s="860"/>
      <c r="D1" s="860"/>
      <c r="E1" s="860"/>
      <c r="F1" s="860"/>
      <c r="G1" s="860"/>
      <c r="H1" s="860"/>
      <c r="I1" s="860"/>
      <c r="J1" s="860"/>
      <c r="K1" s="860"/>
      <c r="L1" s="861"/>
    </row>
    <row r="2" spans="1:12" ht="12.15" customHeight="1" thickBot="1" x14ac:dyDescent="0.35">
      <c r="A2" s="51"/>
      <c r="D2" s="16"/>
      <c r="L2" s="916"/>
    </row>
    <row r="3" spans="1:12" ht="12.15" customHeight="1" thickBot="1" x14ac:dyDescent="0.3">
      <c r="A3" s="12" t="s">
        <v>453</v>
      </c>
      <c r="B3" s="2"/>
      <c r="C3" s="44" t="s">
        <v>150</v>
      </c>
      <c r="J3" s="8">
        <f>'Maximum Rates'!D5</f>
        <v>122</v>
      </c>
      <c r="K3" s="917">
        <v>3</v>
      </c>
      <c r="L3" s="862">
        <f>(J3*K3)</f>
        <v>366</v>
      </c>
    </row>
    <row r="4" spans="1:12" ht="12.15" customHeight="1" x14ac:dyDescent="0.25">
      <c r="A4" s="51"/>
      <c r="J4" s="8"/>
      <c r="L4" s="862"/>
    </row>
    <row r="5" spans="1:12" ht="12.15" customHeight="1" thickBot="1" x14ac:dyDescent="0.3">
      <c r="A5" s="51"/>
      <c r="C5" s="44" t="s">
        <v>22</v>
      </c>
      <c r="J5" s="8"/>
      <c r="L5" s="862"/>
    </row>
    <row r="6" spans="1:12" ht="12.15" customHeight="1" thickBot="1" x14ac:dyDescent="0.3">
      <c r="A6" s="12" t="s">
        <v>454</v>
      </c>
      <c r="B6" s="2"/>
      <c r="C6" s="44" t="s">
        <v>502</v>
      </c>
      <c r="J6" s="8">
        <f>'Maximum Rates'!D6</f>
        <v>140</v>
      </c>
      <c r="K6" s="917">
        <v>1</v>
      </c>
      <c r="L6" s="862">
        <f>(J6*K6)</f>
        <v>140</v>
      </c>
    </row>
    <row r="7" spans="1:12" ht="12.15" customHeight="1" x14ac:dyDescent="0.25">
      <c r="A7" s="51"/>
      <c r="C7" s="44" t="s">
        <v>22</v>
      </c>
      <c r="J7" s="8"/>
      <c r="L7" s="862"/>
    </row>
    <row r="8" spans="1:12" ht="12.15" customHeight="1" thickBot="1" x14ac:dyDescent="0.3">
      <c r="A8" s="51"/>
      <c r="J8" s="8"/>
      <c r="L8" s="862"/>
    </row>
    <row r="9" spans="1:12" ht="12.15" customHeight="1" thickBot="1" x14ac:dyDescent="0.3">
      <c r="A9" s="12" t="s">
        <v>455</v>
      </c>
      <c r="B9" s="2"/>
      <c r="C9" s="44" t="s">
        <v>598</v>
      </c>
      <c r="J9" s="8">
        <f>'Maximum Rates'!D7</f>
        <v>102</v>
      </c>
      <c r="K9" s="917">
        <v>1</v>
      </c>
      <c r="L9" s="862">
        <f>(J9*K9)</f>
        <v>102</v>
      </c>
    </row>
    <row r="10" spans="1:12" ht="12.15" customHeight="1" x14ac:dyDescent="0.25">
      <c r="A10" s="12" t="s">
        <v>218</v>
      </c>
      <c r="B10" s="2"/>
      <c r="C10" s="44" t="s">
        <v>22</v>
      </c>
      <c r="J10" s="8"/>
      <c r="L10" s="862"/>
    </row>
    <row r="11" spans="1:12" ht="12.15" customHeight="1" thickBot="1" x14ac:dyDescent="0.3">
      <c r="A11" s="51"/>
      <c r="J11" s="8"/>
      <c r="L11" s="862"/>
    </row>
    <row r="12" spans="1:12" ht="12.15" customHeight="1" thickBot="1" x14ac:dyDescent="0.3">
      <c r="A12" s="12" t="s">
        <v>456</v>
      </c>
      <c r="B12" s="2"/>
      <c r="J12" s="8">
        <f>'Maximum Rates'!D10</f>
        <v>74</v>
      </c>
      <c r="K12" s="917">
        <v>0</v>
      </c>
      <c r="L12" s="862">
        <f>(J12*K12)</f>
        <v>0</v>
      </c>
    </row>
    <row r="13" spans="1:12" ht="12.15" customHeight="1" x14ac:dyDescent="0.25">
      <c r="A13" s="51"/>
      <c r="J13" s="8"/>
      <c r="L13" s="862"/>
    </row>
    <row r="14" spans="1:12" ht="12.15" customHeight="1" thickBot="1" x14ac:dyDescent="0.3">
      <c r="A14" s="51"/>
      <c r="J14" s="8"/>
      <c r="L14" s="862"/>
    </row>
    <row r="15" spans="1:12" ht="12.15" customHeight="1" thickBot="1" x14ac:dyDescent="0.3">
      <c r="A15" s="12" t="s">
        <v>457</v>
      </c>
      <c r="B15" s="2"/>
      <c r="C15" s="44" t="s">
        <v>148</v>
      </c>
      <c r="J15" s="8">
        <f>'Maximum Rates'!D11</f>
        <v>60</v>
      </c>
      <c r="K15" s="917">
        <v>1</v>
      </c>
      <c r="L15" s="862">
        <f>(J15*K15)</f>
        <v>60</v>
      </c>
    </row>
    <row r="16" spans="1:12" ht="12.15" customHeight="1" thickBot="1" x14ac:dyDescent="0.3">
      <c r="A16" s="51"/>
      <c r="C16" s="44" t="s">
        <v>22</v>
      </c>
      <c r="L16" s="862"/>
    </row>
    <row r="17" spans="1:12" ht="12.15" customHeight="1" thickBot="1" x14ac:dyDescent="0.3">
      <c r="A17" s="52"/>
      <c r="B17" s="663"/>
      <c r="C17" s="663"/>
      <c r="D17" s="663"/>
      <c r="E17" s="663"/>
      <c r="F17" s="565" t="s">
        <v>334</v>
      </c>
      <c r="G17" s="632"/>
      <c r="H17" s="632"/>
      <c r="I17" s="632"/>
      <c r="J17" s="632"/>
      <c r="K17" s="918"/>
      <c r="L17" s="6">
        <f>SUM(L3:L16)</f>
        <v>668</v>
      </c>
    </row>
    <row r="18" spans="1:12" ht="12.15" customHeight="1" thickBot="1" x14ac:dyDescent="0.3"/>
    <row r="19" spans="1:12" ht="18" customHeight="1" x14ac:dyDescent="0.25">
      <c r="A19" s="875" t="s">
        <v>151</v>
      </c>
      <c r="B19" s="860"/>
      <c r="C19" s="860"/>
      <c r="D19" s="860"/>
      <c r="E19" s="860"/>
      <c r="F19" s="860"/>
      <c r="G19" s="860"/>
      <c r="H19" s="860"/>
      <c r="I19" s="860"/>
      <c r="J19" s="860"/>
      <c r="K19" s="860"/>
      <c r="L19" s="861"/>
    </row>
    <row r="20" spans="1:12" ht="12.15" customHeight="1" thickBot="1" x14ac:dyDescent="0.35">
      <c r="A20" s="51"/>
      <c r="D20" s="16"/>
      <c r="L20" s="916"/>
    </row>
    <row r="21" spans="1:12" ht="12.15" customHeight="1" thickBot="1" x14ac:dyDescent="0.3">
      <c r="A21" s="12" t="s">
        <v>453</v>
      </c>
      <c r="B21" s="2"/>
      <c r="C21" s="44" t="s">
        <v>1</v>
      </c>
      <c r="J21" s="8">
        <f>'Maximum Rates'!D5</f>
        <v>122</v>
      </c>
      <c r="K21" s="917">
        <v>4</v>
      </c>
      <c r="L21" s="862">
        <f>(J21*K21)</f>
        <v>488</v>
      </c>
    </row>
    <row r="22" spans="1:12" ht="12.15" customHeight="1" x14ac:dyDescent="0.25">
      <c r="A22" s="51"/>
      <c r="C22" s="44" t="s">
        <v>389</v>
      </c>
      <c r="J22" s="8"/>
      <c r="L22" s="862"/>
    </row>
    <row r="23" spans="1:12" ht="12.15" customHeight="1" thickBot="1" x14ac:dyDescent="0.3">
      <c r="A23" s="51"/>
      <c r="C23" s="44" t="s">
        <v>22</v>
      </c>
      <c r="J23" s="8"/>
      <c r="L23" s="862"/>
    </row>
    <row r="24" spans="1:12" ht="12.15" customHeight="1" thickBot="1" x14ac:dyDescent="0.3">
      <c r="A24" s="12" t="s">
        <v>454</v>
      </c>
      <c r="B24" s="2"/>
      <c r="C24" s="44" t="s">
        <v>442</v>
      </c>
      <c r="J24" s="8">
        <f>'Maximum Rates'!D6</f>
        <v>140</v>
      </c>
      <c r="K24" s="917">
        <v>1</v>
      </c>
      <c r="L24" s="862">
        <f>(J24*K24)</f>
        <v>140</v>
      </c>
    </row>
    <row r="25" spans="1:12" ht="12.15" customHeight="1" x14ac:dyDescent="0.25">
      <c r="A25" s="51"/>
      <c r="C25" s="44" t="s">
        <v>22</v>
      </c>
      <c r="J25" s="8"/>
      <c r="L25" s="862"/>
    </row>
    <row r="26" spans="1:12" ht="12.15" customHeight="1" thickBot="1" x14ac:dyDescent="0.3">
      <c r="A26" s="51"/>
      <c r="J26" s="8"/>
      <c r="L26" s="862"/>
    </row>
    <row r="27" spans="1:12" ht="12.15" customHeight="1" thickBot="1" x14ac:dyDescent="0.3">
      <c r="A27" s="12" t="s">
        <v>455</v>
      </c>
      <c r="B27" s="2"/>
      <c r="C27" s="44" t="s">
        <v>597</v>
      </c>
      <c r="J27" s="8">
        <f>'Maximum Rates'!D7</f>
        <v>102</v>
      </c>
      <c r="K27" s="917">
        <v>2</v>
      </c>
      <c r="L27" s="862">
        <f>(J27*K27)</f>
        <v>204</v>
      </c>
    </row>
    <row r="28" spans="1:12" ht="12.15" customHeight="1" x14ac:dyDescent="0.25">
      <c r="A28" s="12" t="s">
        <v>218</v>
      </c>
      <c r="B28" s="2"/>
      <c r="C28" s="44" t="s">
        <v>22</v>
      </c>
      <c r="J28" s="8"/>
      <c r="L28" s="862"/>
    </row>
    <row r="29" spans="1:12" ht="12.15" customHeight="1" thickBot="1" x14ac:dyDescent="0.3">
      <c r="A29" s="51"/>
      <c r="J29" s="8"/>
      <c r="L29" s="862"/>
    </row>
    <row r="30" spans="1:12" ht="12.15" customHeight="1" thickBot="1" x14ac:dyDescent="0.3">
      <c r="A30" s="12" t="s">
        <v>456</v>
      </c>
      <c r="B30" s="2"/>
      <c r="J30" s="8">
        <f>'Maximum Rates'!D10</f>
        <v>74</v>
      </c>
      <c r="K30" s="917">
        <v>0</v>
      </c>
      <c r="L30" s="862">
        <f>(J30*K30)</f>
        <v>0</v>
      </c>
    </row>
    <row r="31" spans="1:12" ht="12.15" customHeight="1" x14ac:dyDescent="0.25">
      <c r="A31" s="51"/>
      <c r="J31" s="8"/>
      <c r="L31" s="862"/>
    </row>
    <row r="32" spans="1:12" ht="12.15" customHeight="1" thickBot="1" x14ac:dyDescent="0.3">
      <c r="A32" s="51"/>
      <c r="J32" s="8"/>
      <c r="L32" s="862"/>
    </row>
    <row r="33" spans="1:12" ht="12.15" customHeight="1" thickBot="1" x14ac:dyDescent="0.3">
      <c r="A33" s="12" t="s">
        <v>457</v>
      </c>
      <c r="B33" s="2"/>
      <c r="C33" s="44" t="s">
        <v>574</v>
      </c>
      <c r="J33" s="8">
        <f>'Maximum Rates'!D11</f>
        <v>60</v>
      </c>
      <c r="K33" s="917">
        <v>4</v>
      </c>
      <c r="L33" s="862">
        <f>(J33*K33)</f>
        <v>240</v>
      </c>
    </row>
    <row r="34" spans="1:12" ht="12.15" customHeight="1" thickBot="1" x14ac:dyDescent="0.3">
      <c r="A34" s="51"/>
      <c r="C34" s="44" t="s">
        <v>22</v>
      </c>
      <c r="L34" s="862"/>
    </row>
    <row r="35" spans="1:12" ht="12.15" customHeight="1" thickBot="1" x14ac:dyDescent="0.3">
      <c r="A35" s="52"/>
      <c r="B35" s="663"/>
      <c r="C35" s="663"/>
      <c r="D35" s="663"/>
      <c r="E35" s="663"/>
      <c r="F35" s="565" t="s">
        <v>347</v>
      </c>
      <c r="G35" s="632"/>
      <c r="H35" s="632"/>
      <c r="I35" s="632"/>
      <c r="J35" s="632"/>
      <c r="K35" s="918"/>
      <c r="L35" s="6">
        <f>SUM(L21:L34)</f>
        <v>1072</v>
      </c>
    </row>
    <row r="36" spans="1:12" ht="12.15" customHeight="1" thickBot="1" x14ac:dyDescent="0.3"/>
    <row r="37" spans="1:12" ht="18" customHeight="1" x14ac:dyDescent="0.25">
      <c r="A37" s="875" t="s">
        <v>1169</v>
      </c>
      <c r="B37" s="860"/>
      <c r="C37" s="860"/>
      <c r="D37" s="860"/>
      <c r="E37" s="860"/>
      <c r="F37" s="860"/>
      <c r="G37" s="860"/>
      <c r="H37" s="860"/>
      <c r="I37" s="860"/>
      <c r="J37" s="860"/>
      <c r="K37" s="860"/>
      <c r="L37" s="861"/>
    </row>
    <row r="38" spans="1:12" ht="12.15" customHeight="1" thickBot="1" x14ac:dyDescent="0.35">
      <c r="A38" s="51"/>
      <c r="D38" s="16"/>
      <c r="L38" s="916"/>
    </row>
    <row r="39" spans="1:12" ht="12.15" customHeight="1" thickBot="1" x14ac:dyDescent="0.3">
      <c r="A39" s="12" t="s">
        <v>453</v>
      </c>
      <c r="B39" s="2"/>
      <c r="C39" s="44" t="s">
        <v>154</v>
      </c>
      <c r="J39" s="8">
        <f>'Maximum Rates'!D5</f>
        <v>122</v>
      </c>
      <c r="K39" s="917">
        <v>3</v>
      </c>
      <c r="L39" s="862">
        <f>(J39*K39)</f>
        <v>366</v>
      </c>
    </row>
    <row r="40" spans="1:12" ht="12.15" customHeight="1" x14ac:dyDescent="0.25">
      <c r="A40" s="51"/>
      <c r="J40" s="8"/>
      <c r="L40" s="862"/>
    </row>
    <row r="41" spans="1:12" ht="12.15" customHeight="1" thickBot="1" x14ac:dyDescent="0.3">
      <c r="A41" s="51"/>
      <c r="C41" s="44" t="s">
        <v>22</v>
      </c>
      <c r="J41" s="8"/>
      <c r="L41" s="862"/>
    </row>
    <row r="42" spans="1:12" ht="12.15" customHeight="1" thickBot="1" x14ac:dyDescent="0.3">
      <c r="A42" s="12" t="s">
        <v>454</v>
      </c>
      <c r="B42" s="2"/>
      <c r="C42" s="44" t="s">
        <v>442</v>
      </c>
      <c r="J42" s="8">
        <f>'Maximum Rates'!D6</f>
        <v>140</v>
      </c>
      <c r="K42" s="917">
        <v>1</v>
      </c>
      <c r="L42" s="862">
        <f>(J42*K42)</f>
        <v>140</v>
      </c>
    </row>
    <row r="43" spans="1:12" ht="12.15" customHeight="1" x14ac:dyDescent="0.25">
      <c r="A43" s="51"/>
      <c r="C43" s="44" t="s">
        <v>22</v>
      </c>
      <c r="J43" s="8"/>
      <c r="L43" s="862"/>
    </row>
    <row r="44" spans="1:12" ht="12.15" customHeight="1" thickBot="1" x14ac:dyDescent="0.3">
      <c r="A44" s="51"/>
      <c r="J44" s="8"/>
      <c r="L44" s="862"/>
    </row>
    <row r="45" spans="1:12" ht="12.15" customHeight="1" thickBot="1" x14ac:dyDescent="0.3">
      <c r="A45" s="12" t="s">
        <v>455</v>
      </c>
      <c r="B45" s="2"/>
      <c r="C45" s="44" t="s">
        <v>152</v>
      </c>
      <c r="J45" s="8">
        <f>'Maximum Rates'!D7</f>
        <v>102</v>
      </c>
      <c r="K45" s="917">
        <v>1</v>
      </c>
      <c r="L45" s="862">
        <f>(J45*K45)</f>
        <v>102</v>
      </c>
    </row>
    <row r="46" spans="1:12" ht="12.15" customHeight="1" x14ac:dyDescent="0.25">
      <c r="A46" s="12" t="s">
        <v>218</v>
      </c>
      <c r="B46" s="2"/>
      <c r="C46" s="44" t="s">
        <v>22</v>
      </c>
      <c r="J46" s="8"/>
      <c r="L46" s="862"/>
    </row>
    <row r="47" spans="1:12" ht="12.15" customHeight="1" thickBot="1" x14ac:dyDescent="0.3">
      <c r="A47" s="51"/>
      <c r="J47" s="8"/>
      <c r="L47" s="862"/>
    </row>
    <row r="48" spans="1:12" ht="12.15" customHeight="1" thickBot="1" x14ac:dyDescent="0.3">
      <c r="A48" s="12" t="s">
        <v>456</v>
      </c>
      <c r="B48" s="2"/>
      <c r="C48" s="44" t="s">
        <v>367</v>
      </c>
      <c r="J48" s="8">
        <f>'Maximum Rates'!D10</f>
        <v>74</v>
      </c>
      <c r="K48" s="917">
        <v>1</v>
      </c>
      <c r="L48" s="862">
        <f>(J48*K48)</f>
        <v>74</v>
      </c>
    </row>
    <row r="49" spans="1:12" ht="12.15" customHeight="1" x14ac:dyDescent="0.25">
      <c r="A49" s="51"/>
      <c r="J49" s="8"/>
      <c r="L49" s="862"/>
    </row>
    <row r="50" spans="1:12" ht="12.15" customHeight="1" thickBot="1" x14ac:dyDescent="0.3">
      <c r="A50" s="51"/>
      <c r="C50" s="44" t="s">
        <v>22</v>
      </c>
      <c r="J50" s="8"/>
      <c r="L50" s="862"/>
    </row>
    <row r="51" spans="1:12" ht="12.15" customHeight="1" thickBot="1" x14ac:dyDescent="0.3">
      <c r="A51" s="12" t="s">
        <v>457</v>
      </c>
      <c r="B51" s="2"/>
      <c r="C51" s="44" t="s">
        <v>149</v>
      </c>
      <c r="J51" s="8">
        <f>'Maximum Rates'!D11</f>
        <v>60</v>
      </c>
      <c r="K51" s="917">
        <v>2</v>
      </c>
      <c r="L51" s="862">
        <f>(J51*K51)</f>
        <v>120</v>
      </c>
    </row>
    <row r="52" spans="1:12" ht="12.15" customHeight="1" thickBot="1" x14ac:dyDescent="0.3">
      <c r="A52" s="51"/>
      <c r="C52" s="44" t="s">
        <v>22</v>
      </c>
      <c r="L52" s="862"/>
    </row>
    <row r="53" spans="1:12" ht="12.15" customHeight="1" thickBot="1" x14ac:dyDescent="0.3">
      <c r="A53" s="52"/>
      <c r="B53" s="663"/>
      <c r="C53" s="663"/>
      <c r="D53" s="663"/>
      <c r="E53" s="663"/>
      <c r="F53" s="565" t="s">
        <v>353</v>
      </c>
      <c r="G53" s="632"/>
      <c r="H53" s="632"/>
      <c r="I53" s="632"/>
      <c r="J53" s="632"/>
      <c r="K53" s="918"/>
      <c r="L53" s="6">
        <f>SUM(L39:L52)</f>
        <v>802</v>
      </c>
    </row>
    <row r="54" spans="1:12" ht="12" customHeight="1" x14ac:dyDescent="0.25">
      <c r="K54" s="44"/>
    </row>
    <row r="55" spans="1:12" ht="12.15" customHeight="1" x14ac:dyDescent="0.25">
      <c r="K55" s="44"/>
    </row>
    <row r="56" spans="1:12" ht="12.15" customHeight="1" x14ac:dyDescent="0.25">
      <c r="K56" s="44"/>
    </row>
    <row r="57" spans="1:12" ht="12.15" customHeight="1" x14ac:dyDescent="0.25">
      <c r="K57" s="44"/>
    </row>
    <row r="58" spans="1:12" ht="12.15" customHeight="1" x14ac:dyDescent="0.25">
      <c r="K58" s="44"/>
    </row>
    <row r="59" spans="1:12" ht="12.15" customHeight="1" x14ac:dyDescent="0.25">
      <c r="K59" s="44"/>
    </row>
    <row r="60" spans="1:12" ht="12.15" customHeight="1" x14ac:dyDescent="0.25">
      <c r="K60" s="44"/>
    </row>
    <row r="61" spans="1:12" ht="12.15" customHeight="1" thickBot="1" x14ac:dyDescent="0.3">
      <c r="K61" s="44"/>
    </row>
    <row r="62" spans="1:12" ht="18" customHeight="1" x14ac:dyDescent="0.25">
      <c r="A62" s="875" t="s">
        <v>153</v>
      </c>
      <c r="B62" s="860"/>
      <c r="C62" s="860"/>
      <c r="D62" s="860"/>
      <c r="E62" s="860"/>
      <c r="F62" s="860"/>
      <c r="G62" s="860"/>
      <c r="H62" s="860"/>
      <c r="I62" s="860"/>
      <c r="J62" s="860"/>
      <c r="K62" s="860"/>
      <c r="L62" s="861"/>
    </row>
    <row r="63" spans="1:12" ht="12.15" customHeight="1" thickBot="1" x14ac:dyDescent="0.35">
      <c r="A63" s="51"/>
      <c r="D63" s="16"/>
      <c r="L63" s="916"/>
    </row>
    <row r="64" spans="1:12" ht="12.15" customHeight="1" thickBot="1" x14ac:dyDescent="0.3">
      <c r="A64" s="12" t="s">
        <v>453</v>
      </c>
      <c r="B64" s="2"/>
      <c r="C64" s="44" t="s">
        <v>156</v>
      </c>
      <c r="J64" s="8">
        <f>'Maximum Rates'!D5</f>
        <v>122</v>
      </c>
      <c r="K64" s="917">
        <v>4</v>
      </c>
      <c r="L64" s="862">
        <f>(J64*K64)</f>
        <v>488</v>
      </c>
    </row>
    <row r="65" spans="1:12" ht="12.15" customHeight="1" x14ac:dyDescent="0.25">
      <c r="A65" s="51"/>
      <c r="C65" s="44" t="s">
        <v>157</v>
      </c>
      <c r="J65" s="8"/>
      <c r="L65" s="862"/>
    </row>
    <row r="66" spans="1:12" ht="12.15" customHeight="1" thickBot="1" x14ac:dyDescent="0.3">
      <c r="A66" s="51"/>
      <c r="C66" s="44" t="s">
        <v>22</v>
      </c>
      <c r="J66" s="8"/>
      <c r="L66" s="862"/>
    </row>
    <row r="67" spans="1:12" ht="12.15" customHeight="1" thickBot="1" x14ac:dyDescent="0.3">
      <c r="A67" s="12" t="s">
        <v>454</v>
      </c>
      <c r="B67" s="2"/>
      <c r="C67" s="44" t="s">
        <v>442</v>
      </c>
      <c r="J67" s="8">
        <f>'Maximum Rates'!D6</f>
        <v>140</v>
      </c>
      <c r="K67" s="917">
        <v>1</v>
      </c>
      <c r="L67" s="862">
        <f>(J67*K67)</f>
        <v>140</v>
      </c>
    </row>
    <row r="68" spans="1:12" ht="12.15" customHeight="1" x14ac:dyDescent="0.25">
      <c r="A68" s="51"/>
      <c r="C68" s="44" t="s">
        <v>22</v>
      </c>
      <c r="J68" s="8"/>
      <c r="L68" s="862"/>
    </row>
    <row r="69" spans="1:12" ht="12.15" customHeight="1" thickBot="1" x14ac:dyDescent="0.3">
      <c r="A69" s="51"/>
      <c r="J69" s="8"/>
      <c r="L69" s="862"/>
    </row>
    <row r="70" spans="1:12" ht="12.15" customHeight="1" thickBot="1" x14ac:dyDescent="0.3">
      <c r="A70" s="12" t="s">
        <v>455</v>
      </c>
      <c r="B70" s="2"/>
      <c r="C70" s="44" t="s">
        <v>594</v>
      </c>
      <c r="J70" s="8">
        <f>'Maximum Rates'!D7</f>
        <v>102</v>
      </c>
      <c r="K70" s="917">
        <v>3</v>
      </c>
      <c r="L70" s="862">
        <f>(J70*K70)</f>
        <v>306</v>
      </c>
    </row>
    <row r="71" spans="1:12" ht="12.15" customHeight="1" x14ac:dyDescent="0.25">
      <c r="A71" s="12" t="s">
        <v>218</v>
      </c>
      <c r="B71" s="2"/>
      <c r="C71" s="44" t="s">
        <v>22</v>
      </c>
      <c r="J71" s="8"/>
      <c r="L71" s="862"/>
    </row>
    <row r="72" spans="1:12" ht="12.15" customHeight="1" thickBot="1" x14ac:dyDescent="0.3">
      <c r="A72" s="51"/>
      <c r="J72" s="8"/>
      <c r="L72" s="862"/>
    </row>
    <row r="73" spans="1:12" ht="12.15" customHeight="1" thickBot="1" x14ac:dyDescent="0.3">
      <c r="A73" s="12" t="s">
        <v>456</v>
      </c>
      <c r="B73" s="2"/>
      <c r="C73" s="44" t="s">
        <v>155</v>
      </c>
      <c r="J73" s="8">
        <f>'Maximum Rates'!D10</f>
        <v>74</v>
      </c>
      <c r="K73" s="917">
        <v>1</v>
      </c>
      <c r="L73" s="862">
        <f>(J73*K73)</f>
        <v>74</v>
      </c>
    </row>
    <row r="74" spans="1:12" ht="12.15" customHeight="1" x14ac:dyDescent="0.25">
      <c r="A74" s="51"/>
      <c r="J74" s="8"/>
      <c r="L74" s="862"/>
    </row>
    <row r="75" spans="1:12" ht="12.15" customHeight="1" thickBot="1" x14ac:dyDescent="0.3">
      <c r="A75" s="51"/>
      <c r="J75" s="8"/>
      <c r="L75" s="862"/>
    </row>
    <row r="76" spans="1:12" ht="12.15" customHeight="1" thickBot="1" x14ac:dyDescent="0.3">
      <c r="A76" s="12" t="s">
        <v>457</v>
      </c>
      <c r="B76" s="2"/>
      <c r="C76" s="44" t="s">
        <v>574</v>
      </c>
      <c r="J76" s="8">
        <f>'Maximum Rates'!D11</f>
        <v>60</v>
      </c>
      <c r="K76" s="917">
        <v>4</v>
      </c>
      <c r="L76" s="862">
        <f>(J76*K76)</f>
        <v>240</v>
      </c>
    </row>
    <row r="77" spans="1:12" ht="12.15" customHeight="1" thickBot="1" x14ac:dyDescent="0.3">
      <c r="A77" s="51"/>
      <c r="C77" s="44" t="s">
        <v>22</v>
      </c>
      <c r="L77" s="862"/>
    </row>
    <row r="78" spans="1:12" ht="12.15" customHeight="1" thickBot="1" x14ac:dyDescent="0.3">
      <c r="A78" s="52"/>
      <c r="B78" s="663"/>
      <c r="C78" s="663"/>
      <c r="D78" s="663"/>
      <c r="E78" s="663"/>
      <c r="F78" s="565" t="s">
        <v>354</v>
      </c>
      <c r="G78" s="632"/>
      <c r="H78" s="632"/>
      <c r="I78" s="632"/>
      <c r="J78" s="632"/>
      <c r="K78" s="918"/>
      <c r="L78" s="6">
        <f>SUM(L64:L77)</f>
        <v>1248</v>
      </c>
    </row>
    <row r="79" spans="1:12" ht="12.15" customHeight="1" thickBot="1" x14ac:dyDescent="0.3"/>
    <row r="80" spans="1:12" ht="18" customHeight="1" x14ac:dyDescent="0.25">
      <c r="A80" s="875" t="s">
        <v>355</v>
      </c>
      <c r="B80" s="860"/>
      <c r="C80" s="860"/>
      <c r="D80" s="860"/>
      <c r="E80" s="860"/>
      <c r="F80" s="860"/>
      <c r="G80" s="860"/>
      <c r="H80" s="860"/>
      <c r="I80" s="860"/>
      <c r="J80" s="860"/>
      <c r="K80" s="860"/>
      <c r="L80" s="861"/>
    </row>
    <row r="81" spans="1:12" ht="12.15" customHeight="1" thickBot="1" x14ac:dyDescent="0.35">
      <c r="A81" s="51"/>
      <c r="D81" s="16"/>
      <c r="L81" s="916"/>
    </row>
    <row r="82" spans="1:12" ht="12.15" customHeight="1" thickBot="1" x14ac:dyDescent="0.3">
      <c r="A82" s="12" t="s">
        <v>453</v>
      </c>
      <c r="B82" s="2"/>
      <c r="C82" s="44" t="s">
        <v>1320</v>
      </c>
      <c r="J82" s="8">
        <f>'Maximum Rates'!D5</f>
        <v>122</v>
      </c>
      <c r="K82" s="917">
        <v>1</v>
      </c>
      <c r="L82" s="862">
        <f>(J82*K82)</f>
        <v>122</v>
      </c>
    </row>
    <row r="83" spans="1:12" ht="12.15" customHeight="1" x14ac:dyDescent="0.25">
      <c r="A83" s="51"/>
      <c r="J83" s="8"/>
      <c r="L83" s="862"/>
    </row>
    <row r="84" spans="1:12" ht="12.15" customHeight="1" thickBot="1" x14ac:dyDescent="0.3">
      <c r="A84" s="51"/>
      <c r="C84" s="44" t="s">
        <v>22</v>
      </c>
      <c r="J84" s="8"/>
      <c r="L84" s="862"/>
    </row>
    <row r="85" spans="1:12" ht="12.15" customHeight="1" thickBot="1" x14ac:dyDescent="0.3">
      <c r="A85" s="12" t="s">
        <v>454</v>
      </c>
      <c r="B85" s="2"/>
      <c r="C85" s="44" t="s">
        <v>596</v>
      </c>
      <c r="J85" s="8">
        <f>'Maximum Rates'!D6</f>
        <v>140</v>
      </c>
      <c r="K85" s="917">
        <v>2</v>
      </c>
      <c r="L85" s="862">
        <f>(J85*K85)</f>
        <v>280</v>
      </c>
    </row>
    <row r="86" spans="1:12" ht="12.15" customHeight="1" x14ac:dyDescent="0.25">
      <c r="A86" s="51"/>
      <c r="J86" s="8"/>
      <c r="L86" s="862"/>
    </row>
    <row r="87" spans="1:12" ht="12.15" customHeight="1" thickBot="1" x14ac:dyDescent="0.3">
      <c r="A87" s="51"/>
      <c r="J87" s="8"/>
      <c r="L87" s="862"/>
    </row>
    <row r="88" spans="1:12" ht="12.15" customHeight="1" thickBot="1" x14ac:dyDescent="0.3">
      <c r="A88" s="12" t="s">
        <v>455</v>
      </c>
      <c r="B88" s="2"/>
      <c r="C88" s="44" t="s">
        <v>593</v>
      </c>
      <c r="J88" s="8">
        <f>'Maximum Rates'!D7</f>
        <v>102</v>
      </c>
      <c r="K88" s="917">
        <v>8</v>
      </c>
      <c r="L88" s="862">
        <f>(J88*K88)</f>
        <v>816</v>
      </c>
    </row>
    <row r="89" spans="1:12" ht="12.15" customHeight="1" x14ac:dyDescent="0.25">
      <c r="A89" s="12" t="s">
        <v>218</v>
      </c>
      <c r="B89" s="2"/>
      <c r="C89" s="44" t="s">
        <v>22</v>
      </c>
      <c r="J89" s="8"/>
      <c r="L89" s="862"/>
    </row>
    <row r="90" spans="1:12" ht="12.15" customHeight="1" thickBot="1" x14ac:dyDescent="0.3">
      <c r="A90" s="51"/>
      <c r="J90" s="8"/>
      <c r="L90" s="862"/>
    </row>
    <row r="91" spans="1:12" ht="12.15" customHeight="1" thickBot="1" x14ac:dyDescent="0.3">
      <c r="A91" s="12" t="s">
        <v>456</v>
      </c>
      <c r="B91" s="2"/>
      <c r="C91" s="44" t="s">
        <v>159</v>
      </c>
      <c r="J91" s="8">
        <f>'Maximum Rates'!D10</f>
        <v>74</v>
      </c>
      <c r="K91" s="917">
        <v>1</v>
      </c>
      <c r="L91" s="862">
        <f>(J91*K91)</f>
        <v>74</v>
      </c>
    </row>
    <row r="92" spans="1:12" ht="12.15" customHeight="1" x14ac:dyDescent="0.25">
      <c r="A92" s="51"/>
      <c r="J92" s="8"/>
      <c r="L92" s="862"/>
    </row>
    <row r="93" spans="1:12" ht="12.15" customHeight="1" thickBot="1" x14ac:dyDescent="0.3">
      <c r="A93" s="51"/>
      <c r="J93" s="8"/>
      <c r="L93" s="862"/>
    </row>
    <row r="94" spans="1:12" ht="12.15" customHeight="1" thickBot="1" x14ac:dyDescent="0.3">
      <c r="A94" s="12" t="s">
        <v>457</v>
      </c>
      <c r="B94" s="2"/>
      <c r="C94" s="44" t="s">
        <v>125</v>
      </c>
      <c r="J94" s="8">
        <f>'Maximum Rates'!D11</f>
        <v>60</v>
      </c>
      <c r="K94" s="917">
        <v>2</v>
      </c>
      <c r="L94" s="862">
        <f>(J94*K94)</f>
        <v>120</v>
      </c>
    </row>
    <row r="95" spans="1:12" ht="12.15" customHeight="1" thickBot="1" x14ac:dyDescent="0.3">
      <c r="A95" s="51"/>
      <c r="C95" s="44" t="s">
        <v>22</v>
      </c>
      <c r="L95" s="862"/>
    </row>
    <row r="96" spans="1:12" ht="12.15" customHeight="1" thickBot="1" x14ac:dyDescent="0.3">
      <c r="A96" s="52"/>
      <c r="B96" s="663"/>
      <c r="C96" s="663"/>
      <c r="D96" s="663"/>
      <c r="E96" s="663"/>
      <c r="F96" s="565" t="s">
        <v>1180</v>
      </c>
      <c r="G96" s="632"/>
      <c r="H96" s="632"/>
      <c r="I96" s="632"/>
      <c r="J96" s="632"/>
      <c r="K96" s="918"/>
      <c r="L96" s="6">
        <f>SUM(L82:L95)</f>
        <v>1412</v>
      </c>
    </row>
    <row r="97" spans="1:12" ht="12.15" customHeight="1" thickBot="1" x14ac:dyDescent="0.3"/>
    <row r="98" spans="1:12" ht="18" customHeight="1" x14ac:dyDescent="0.25">
      <c r="A98" s="875" t="s">
        <v>1253</v>
      </c>
      <c r="B98" s="860"/>
      <c r="C98" s="860"/>
      <c r="D98" s="860"/>
      <c r="E98" s="860"/>
      <c r="F98" s="860"/>
      <c r="G98" s="860"/>
      <c r="H98" s="860"/>
      <c r="I98" s="860"/>
      <c r="J98" s="860"/>
      <c r="K98" s="860"/>
      <c r="L98" s="861"/>
    </row>
    <row r="99" spans="1:12" ht="12.15" customHeight="1" thickBot="1" x14ac:dyDescent="0.35">
      <c r="A99" s="51"/>
      <c r="D99" s="16"/>
      <c r="L99" s="916"/>
    </row>
    <row r="100" spans="1:12" ht="12.15" customHeight="1" thickBot="1" x14ac:dyDescent="0.3">
      <c r="A100" s="12" t="s">
        <v>453</v>
      </c>
      <c r="B100" s="2"/>
      <c r="C100" s="44" t="s">
        <v>1319</v>
      </c>
      <c r="J100" s="8">
        <f>'Maximum Rates'!D5</f>
        <v>122</v>
      </c>
      <c r="K100" s="917">
        <v>3</v>
      </c>
      <c r="L100" s="862">
        <f>(J100*K100)</f>
        <v>366</v>
      </c>
    </row>
    <row r="101" spans="1:12" ht="12.15" customHeight="1" x14ac:dyDescent="0.25">
      <c r="A101" s="51"/>
      <c r="C101" s="44" t="s">
        <v>22</v>
      </c>
      <c r="J101" s="8"/>
      <c r="L101" s="862"/>
    </row>
    <row r="102" spans="1:12" ht="12.15" customHeight="1" thickBot="1" x14ac:dyDescent="0.3">
      <c r="A102" s="51"/>
      <c r="J102" s="8"/>
      <c r="L102" s="862"/>
    </row>
    <row r="103" spans="1:12" ht="12.15" customHeight="1" thickBot="1" x14ac:dyDescent="0.3">
      <c r="A103" s="12" t="s">
        <v>454</v>
      </c>
      <c r="B103" s="2"/>
      <c r="C103" s="44" t="s">
        <v>595</v>
      </c>
      <c r="J103" s="8">
        <f>'Maximum Rates'!D6</f>
        <v>140</v>
      </c>
      <c r="K103" s="917">
        <v>1</v>
      </c>
      <c r="L103" s="862">
        <f>(J103*K103)</f>
        <v>140</v>
      </c>
    </row>
    <row r="104" spans="1:12" ht="12.15" customHeight="1" x14ac:dyDescent="0.25">
      <c r="A104" s="51"/>
      <c r="C104" s="44" t="s">
        <v>22</v>
      </c>
      <c r="J104" s="8"/>
      <c r="L104" s="862"/>
    </row>
    <row r="105" spans="1:12" ht="12.15" customHeight="1" thickBot="1" x14ac:dyDescent="0.3">
      <c r="A105" s="51"/>
      <c r="J105" s="8"/>
      <c r="L105" s="862"/>
    </row>
    <row r="106" spans="1:12" ht="12.15" customHeight="1" thickBot="1" x14ac:dyDescent="0.3">
      <c r="A106" s="12" t="s">
        <v>455</v>
      </c>
      <c r="B106" s="2"/>
      <c r="C106" s="44" t="s">
        <v>592</v>
      </c>
      <c r="J106" s="8">
        <f>'Maximum Rates'!D7</f>
        <v>102</v>
      </c>
      <c r="K106" s="917">
        <v>2</v>
      </c>
      <c r="L106" s="862">
        <f>(J106*K106)</f>
        <v>204</v>
      </c>
    </row>
    <row r="107" spans="1:12" ht="12.15" customHeight="1" x14ac:dyDescent="0.25">
      <c r="A107" s="12" t="s">
        <v>218</v>
      </c>
      <c r="B107" s="2"/>
      <c r="C107" s="44" t="s">
        <v>22</v>
      </c>
      <c r="J107" s="8"/>
      <c r="L107" s="862"/>
    </row>
    <row r="108" spans="1:12" ht="12.15" customHeight="1" thickBot="1" x14ac:dyDescent="0.3">
      <c r="A108" s="51"/>
      <c r="J108" s="8"/>
      <c r="L108" s="862"/>
    </row>
    <row r="109" spans="1:12" ht="12.15" customHeight="1" thickBot="1" x14ac:dyDescent="0.3">
      <c r="A109" s="12" t="s">
        <v>456</v>
      </c>
      <c r="B109" s="2"/>
      <c r="C109" s="44" t="s">
        <v>161</v>
      </c>
      <c r="J109" s="8">
        <f>'Maximum Rates'!D10</f>
        <v>74</v>
      </c>
      <c r="K109" s="917">
        <v>1</v>
      </c>
      <c r="L109" s="862">
        <f>(J109*K109)</f>
        <v>74</v>
      </c>
    </row>
    <row r="110" spans="1:12" ht="12.15" customHeight="1" x14ac:dyDescent="0.25">
      <c r="A110" s="51"/>
      <c r="J110" s="8"/>
      <c r="L110" s="862"/>
    </row>
    <row r="111" spans="1:12" ht="12.15" customHeight="1" thickBot="1" x14ac:dyDescent="0.3">
      <c r="A111" s="51"/>
      <c r="J111" s="8"/>
      <c r="L111" s="862"/>
    </row>
    <row r="112" spans="1:12" ht="12.15" customHeight="1" thickBot="1" x14ac:dyDescent="0.3">
      <c r="A112" s="12" t="s">
        <v>457</v>
      </c>
      <c r="B112" s="2"/>
      <c r="C112" s="44" t="s">
        <v>158</v>
      </c>
      <c r="J112" s="8">
        <f>'Maximum Rates'!D11</f>
        <v>60</v>
      </c>
      <c r="K112" s="917">
        <v>2</v>
      </c>
      <c r="L112" s="862">
        <f>(J112*K112)</f>
        <v>120</v>
      </c>
    </row>
    <row r="113" spans="1:12" ht="12.15" customHeight="1" thickBot="1" x14ac:dyDescent="0.3">
      <c r="A113" s="51"/>
      <c r="C113" s="44" t="s">
        <v>22</v>
      </c>
      <c r="L113" s="862"/>
    </row>
    <row r="114" spans="1:12" ht="12.15" customHeight="1" thickBot="1" x14ac:dyDescent="0.3">
      <c r="A114" s="52"/>
      <c r="B114" s="663"/>
      <c r="C114" s="663"/>
      <c r="D114" s="663"/>
      <c r="E114" s="663"/>
      <c r="F114" s="565" t="s">
        <v>1254</v>
      </c>
      <c r="G114" s="632"/>
      <c r="H114" s="632"/>
      <c r="I114" s="632"/>
      <c r="J114" s="632"/>
      <c r="K114" s="918"/>
      <c r="L114" s="6">
        <f>SUM(L100:L113)</f>
        <v>904</v>
      </c>
    </row>
    <row r="115" spans="1:12" ht="12.15" customHeight="1" thickBot="1" x14ac:dyDescent="0.3"/>
    <row r="116" spans="1:12" ht="18" customHeight="1" x14ac:dyDescent="0.25">
      <c r="A116" s="875" t="s">
        <v>583</v>
      </c>
      <c r="B116" s="860"/>
      <c r="C116" s="860"/>
      <c r="D116" s="860"/>
      <c r="E116" s="860"/>
      <c r="F116" s="860"/>
      <c r="G116" s="860"/>
      <c r="H116" s="860"/>
      <c r="I116" s="860"/>
      <c r="J116" s="860"/>
      <c r="K116" s="860"/>
      <c r="L116" s="861"/>
    </row>
    <row r="117" spans="1:12" ht="12.15" customHeight="1" thickBot="1" x14ac:dyDescent="0.35">
      <c r="A117" s="51"/>
      <c r="D117" s="16"/>
      <c r="L117" s="916"/>
    </row>
    <row r="118" spans="1:12" ht="12.15" customHeight="1" thickBot="1" x14ac:dyDescent="0.3">
      <c r="A118" s="12" t="s">
        <v>453</v>
      </c>
      <c r="B118" s="2"/>
      <c r="C118" s="44" t="s">
        <v>162</v>
      </c>
      <c r="J118" s="8">
        <f>'Maximum Rates'!D5</f>
        <v>122</v>
      </c>
      <c r="K118" s="917">
        <v>1</v>
      </c>
      <c r="L118" s="862">
        <f>(J118*K118)</f>
        <v>122</v>
      </c>
    </row>
    <row r="119" spans="1:12" ht="12.15" customHeight="1" x14ac:dyDescent="0.25">
      <c r="A119" s="51"/>
      <c r="C119" s="44" t="s">
        <v>22</v>
      </c>
      <c r="J119" s="8"/>
      <c r="L119" s="862"/>
    </row>
    <row r="120" spans="1:12" ht="12.15" customHeight="1" thickBot="1" x14ac:dyDescent="0.3">
      <c r="A120" s="51"/>
      <c r="J120" s="8"/>
      <c r="L120" s="862"/>
    </row>
    <row r="121" spans="1:12" ht="12.15" customHeight="1" thickBot="1" x14ac:dyDescent="0.3">
      <c r="A121" s="12" t="s">
        <v>454</v>
      </c>
      <c r="B121" s="2"/>
      <c r="J121" s="8">
        <f>'Maximum Rates'!D6</f>
        <v>140</v>
      </c>
      <c r="K121" s="917">
        <v>0</v>
      </c>
      <c r="L121" s="862">
        <f>(J121*K121)</f>
        <v>0</v>
      </c>
    </row>
    <row r="122" spans="1:12" ht="12.15" customHeight="1" x14ac:dyDescent="0.25">
      <c r="A122" s="51"/>
      <c r="J122" s="8"/>
      <c r="L122" s="862"/>
    </row>
    <row r="123" spans="1:12" ht="12.15" customHeight="1" thickBot="1" x14ac:dyDescent="0.3">
      <c r="A123" s="51"/>
      <c r="J123" s="8"/>
      <c r="L123" s="862"/>
    </row>
    <row r="124" spans="1:12" ht="12.15" customHeight="1" thickBot="1" x14ac:dyDescent="0.3">
      <c r="A124" s="12" t="s">
        <v>455</v>
      </c>
      <c r="B124" s="2"/>
      <c r="C124" s="44" t="s">
        <v>614</v>
      </c>
      <c r="J124" s="8">
        <f>'Maximum Rates'!D7</f>
        <v>102</v>
      </c>
      <c r="K124" s="917">
        <v>1</v>
      </c>
      <c r="L124" s="862">
        <f>(J124*K124)</f>
        <v>102</v>
      </c>
    </row>
    <row r="125" spans="1:12" ht="12.15" customHeight="1" x14ac:dyDescent="0.25">
      <c r="A125" s="12" t="s">
        <v>218</v>
      </c>
      <c r="B125" s="2"/>
      <c r="C125" s="44" t="s">
        <v>22</v>
      </c>
      <c r="J125" s="8"/>
      <c r="L125" s="862"/>
    </row>
    <row r="126" spans="1:12" ht="12.15" customHeight="1" thickBot="1" x14ac:dyDescent="0.3">
      <c r="A126" s="51"/>
      <c r="J126" s="8"/>
      <c r="L126" s="862"/>
    </row>
    <row r="127" spans="1:12" ht="12.15" customHeight="1" thickBot="1" x14ac:dyDescent="0.3">
      <c r="A127" s="12" t="s">
        <v>456</v>
      </c>
      <c r="B127" s="2"/>
      <c r="J127" s="8">
        <f>'Maximum Rates'!D10</f>
        <v>74</v>
      </c>
      <c r="K127" s="917">
        <v>0</v>
      </c>
      <c r="L127" s="862">
        <f>(J127*K127)</f>
        <v>0</v>
      </c>
    </row>
    <row r="128" spans="1:12" ht="12.15" customHeight="1" x14ac:dyDescent="0.25">
      <c r="A128" s="51"/>
      <c r="J128" s="8"/>
      <c r="L128" s="862"/>
    </row>
    <row r="129" spans="1:12" ht="12.15" customHeight="1" thickBot="1" x14ac:dyDescent="0.3">
      <c r="A129" s="51"/>
      <c r="J129" s="8"/>
      <c r="L129" s="862"/>
    </row>
    <row r="130" spans="1:12" ht="12.15" customHeight="1" thickBot="1" x14ac:dyDescent="0.3">
      <c r="A130" s="12" t="s">
        <v>457</v>
      </c>
      <c r="B130" s="2"/>
      <c r="C130" s="44" t="s">
        <v>160</v>
      </c>
      <c r="J130" s="8">
        <f>'Maximum Rates'!D11</f>
        <v>60</v>
      </c>
      <c r="K130" s="917">
        <v>0.5</v>
      </c>
      <c r="L130" s="862">
        <f>(J130*K130)</f>
        <v>30</v>
      </c>
    </row>
    <row r="131" spans="1:12" ht="12.15" customHeight="1" thickBot="1" x14ac:dyDescent="0.3">
      <c r="A131" s="51"/>
      <c r="C131" s="44" t="s">
        <v>22</v>
      </c>
      <c r="L131" s="862"/>
    </row>
    <row r="132" spans="1:12" ht="12.15" customHeight="1" thickBot="1" x14ac:dyDescent="0.3">
      <c r="A132" s="52"/>
      <c r="B132" s="663"/>
      <c r="C132" s="663"/>
      <c r="D132" s="663"/>
      <c r="E132" s="663"/>
      <c r="F132" s="565" t="s">
        <v>1181</v>
      </c>
      <c r="G132" s="632"/>
      <c r="H132" s="632"/>
      <c r="I132" s="632"/>
      <c r="J132" s="632"/>
      <c r="K132" s="918"/>
      <c r="L132" s="6">
        <f>SUM(L118:L131)</f>
        <v>254</v>
      </c>
    </row>
    <row r="133" spans="1:12" ht="12.15" customHeight="1" thickBot="1" x14ac:dyDescent="0.3"/>
    <row r="134" spans="1:12" ht="18" customHeight="1" x14ac:dyDescent="0.25">
      <c r="A134" s="875" t="s">
        <v>163</v>
      </c>
      <c r="B134" s="860"/>
      <c r="C134" s="860"/>
      <c r="D134" s="860"/>
      <c r="E134" s="860"/>
      <c r="F134" s="860"/>
      <c r="G134" s="860"/>
      <c r="H134" s="860"/>
      <c r="I134" s="860"/>
      <c r="J134" s="860"/>
      <c r="K134" s="860"/>
      <c r="L134" s="861"/>
    </row>
    <row r="135" spans="1:12" ht="12.15" customHeight="1" thickBot="1" x14ac:dyDescent="0.3">
      <c r="A135" s="51"/>
      <c r="L135" s="862"/>
    </row>
    <row r="136" spans="1:12" ht="12.15" customHeight="1" thickBot="1" x14ac:dyDescent="0.3">
      <c r="A136" s="12" t="s">
        <v>453</v>
      </c>
      <c r="C136" s="44" t="s">
        <v>26</v>
      </c>
      <c r="J136" s="862">
        <f>'Maximum Rates'!D5</f>
        <v>122</v>
      </c>
      <c r="K136" s="919">
        <v>0.5</v>
      </c>
      <c r="L136" s="862">
        <f>(J136*K136)</f>
        <v>61</v>
      </c>
    </row>
    <row r="137" spans="1:12" ht="12.15" customHeight="1" thickBot="1" x14ac:dyDescent="0.3">
      <c r="A137" s="12"/>
      <c r="B137" s="2"/>
      <c r="C137" s="44" t="s">
        <v>22</v>
      </c>
      <c r="J137" s="8"/>
      <c r="L137" s="862"/>
    </row>
    <row r="138" spans="1:12" ht="12.15" customHeight="1" thickBot="1" x14ac:dyDescent="0.3">
      <c r="A138" s="12" t="s">
        <v>454</v>
      </c>
      <c r="B138" s="2"/>
      <c r="J138" s="8">
        <f>'Maximum Rates'!D6</f>
        <v>140</v>
      </c>
      <c r="K138" s="917"/>
      <c r="L138" s="862">
        <f>(J138*K138)</f>
        <v>0</v>
      </c>
    </row>
    <row r="139" spans="1:12" ht="12.15" customHeight="1" thickBot="1" x14ac:dyDescent="0.3">
      <c r="A139" s="12"/>
      <c r="B139" s="2"/>
      <c r="J139" s="8"/>
      <c r="L139" s="862"/>
    </row>
    <row r="140" spans="1:12" ht="12.15" customHeight="1" thickBot="1" x14ac:dyDescent="0.3">
      <c r="A140" s="12" t="s">
        <v>455</v>
      </c>
      <c r="B140" s="2"/>
      <c r="C140" s="44" t="s">
        <v>25</v>
      </c>
      <c r="J140" s="8">
        <f>'Maximum Rates'!D7</f>
        <v>102</v>
      </c>
      <c r="K140" s="917">
        <v>1.5</v>
      </c>
      <c r="L140" s="862">
        <f>(J140*K140)</f>
        <v>153</v>
      </c>
    </row>
    <row r="141" spans="1:12" ht="12.15" customHeight="1" x14ac:dyDescent="0.25">
      <c r="A141" s="12" t="s">
        <v>218</v>
      </c>
      <c r="B141" s="2"/>
      <c r="C141" s="44" t="s">
        <v>22</v>
      </c>
      <c r="J141" s="8"/>
      <c r="L141" s="862"/>
    </row>
    <row r="142" spans="1:12" ht="12.15" customHeight="1" thickBot="1" x14ac:dyDescent="0.3">
      <c r="A142" s="12"/>
      <c r="B142" s="2"/>
      <c r="J142" s="8"/>
      <c r="L142" s="862"/>
    </row>
    <row r="143" spans="1:12" ht="12.15" customHeight="1" thickBot="1" x14ac:dyDescent="0.3">
      <c r="A143" s="12" t="s">
        <v>456</v>
      </c>
      <c r="B143" s="2"/>
      <c r="C143" s="44" t="s">
        <v>164</v>
      </c>
      <c r="J143" s="8">
        <f>'Maximum Rates'!D10</f>
        <v>74</v>
      </c>
      <c r="K143" s="917">
        <v>1</v>
      </c>
      <c r="L143" s="862">
        <f>(J143*K143)</f>
        <v>74</v>
      </c>
    </row>
    <row r="144" spans="1:12" ht="12.15" customHeight="1" thickBot="1" x14ac:dyDescent="0.3">
      <c r="A144" s="12"/>
      <c r="B144" s="2"/>
      <c r="C144" s="44" t="s">
        <v>22</v>
      </c>
      <c r="J144" s="8"/>
      <c r="L144" s="862"/>
    </row>
    <row r="145" spans="1:12" ht="12.15" customHeight="1" thickBot="1" x14ac:dyDescent="0.3">
      <c r="A145" s="12" t="s">
        <v>457</v>
      </c>
      <c r="B145" s="2"/>
      <c r="C145" s="44" t="s">
        <v>505</v>
      </c>
      <c r="J145" s="8">
        <f>'Maximum Rates'!D11</f>
        <v>60</v>
      </c>
      <c r="K145" s="917">
        <v>1</v>
      </c>
      <c r="L145" s="862">
        <f>(J145*K145)</f>
        <v>60</v>
      </c>
    </row>
    <row r="146" spans="1:12" ht="12.15" customHeight="1" thickBot="1" x14ac:dyDescent="0.3">
      <c r="A146" s="12"/>
      <c r="B146" s="2"/>
      <c r="C146" s="44" t="s">
        <v>22</v>
      </c>
      <c r="L146" s="862"/>
    </row>
    <row r="147" spans="1:12" ht="12.15" customHeight="1" thickBot="1" x14ac:dyDescent="0.3">
      <c r="A147" s="18"/>
      <c r="B147" s="43"/>
      <c r="C147" s="663"/>
      <c r="D147" s="663"/>
      <c r="E147" s="663"/>
      <c r="F147" s="628" t="s">
        <v>506</v>
      </c>
      <c r="G147" s="632"/>
      <c r="H147" s="632"/>
      <c r="I147" s="632"/>
      <c r="J147" s="632"/>
      <c r="K147" s="918"/>
      <c r="L147" s="6">
        <f>SUM(L136:L145)</f>
        <v>348</v>
      </c>
    </row>
    <row r="148" spans="1:12" ht="12.15" customHeight="1" thickBot="1" x14ac:dyDescent="0.3">
      <c r="A148" s="835"/>
      <c r="L148" s="36"/>
    </row>
    <row r="149" spans="1:12" ht="18" customHeight="1" x14ac:dyDescent="0.3">
      <c r="A149" s="856" t="s">
        <v>165</v>
      </c>
      <c r="B149" s="910"/>
      <c r="C149" s="910"/>
      <c r="D149" s="910"/>
      <c r="E149" s="910"/>
      <c r="F149" s="910"/>
      <c r="G149" s="910"/>
      <c r="H149" s="910"/>
      <c r="I149" s="910"/>
      <c r="J149" s="910"/>
      <c r="K149" s="910"/>
      <c r="L149" s="911"/>
    </row>
    <row r="150" spans="1:12" ht="12.15" customHeight="1" thickBot="1" x14ac:dyDescent="0.35">
      <c r="A150" s="51"/>
      <c r="D150" s="16"/>
      <c r="L150" s="916"/>
    </row>
    <row r="151" spans="1:12" ht="12.15" customHeight="1" thickBot="1" x14ac:dyDescent="0.3">
      <c r="A151" s="12" t="s">
        <v>453</v>
      </c>
      <c r="B151" s="2"/>
      <c r="C151" s="44" t="s">
        <v>166</v>
      </c>
      <c r="J151" s="8">
        <f>'Maximum Rates'!D5</f>
        <v>122</v>
      </c>
      <c r="K151" s="917">
        <v>4</v>
      </c>
      <c r="L151" s="862">
        <f>(J151*K151)</f>
        <v>488</v>
      </c>
    </row>
    <row r="152" spans="1:12" ht="12.15" customHeight="1" x14ac:dyDescent="0.25">
      <c r="A152" s="51"/>
      <c r="C152" s="44" t="s">
        <v>22</v>
      </c>
      <c r="J152" s="8"/>
      <c r="L152" s="862"/>
    </row>
    <row r="153" spans="1:12" ht="12.15" customHeight="1" thickBot="1" x14ac:dyDescent="0.3">
      <c r="A153" s="51"/>
      <c r="J153" s="8"/>
      <c r="L153" s="862"/>
    </row>
    <row r="154" spans="1:12" ht="12.15" customHeight="1" thickBot="1" x14ac:dyDescent="0.3">
      <c r="A154" s="12" t="s">
        <v>454</v>
      </c>
      <c r="B154" s="2"/>
      <c r="J154" s="8">
        <f>'Maximum Rates'!D6</f>
        <v>140</v>
      </c>
      <c r="K154" s="917">
        <v>0</v>
      </c>
      <c r="L154" s="862">
        <f>(J154*K154)</f>
        <v>0</v>
      </c>
    </row>
    <row r="155" spans="1:12" ht="12.15" customHeight="1" x14ac:dyDescent="0.25">
      <c r="A155" s="51"/>
      <c r="J155" s="8"/>
      <c r="L155" s="862"/>
    </row>
    <row r="156" spans="1:12" ht="12.15" customHeight="1" thickBot="1" x14ac:dyDescent="0.3">
      <c r="A156" s="51"/>
      <c r="J156" s="8"/>
      <c r="L156" s="862"/>
    </row>
    <row r="157" spans="1:12" ht="12.15" customHeight="1" thickBot="1" x14ac:dyDescent="0.3">
      <c r="A157" s="12" t="s">
        <v>455</v>
      </c>
      <c r="B157" s="2"/>
      <c r="J157" s="8">
        <f>'Maximum Rates'!D7</f>
        <v>102</v>
      </c>
      <c r="K157" s="917">
        <v>0</v>
      </c>
      <c r="L157" s="862">
        <f>(J157*K157)</f>
        <v>0</v>
      </c>
    </row>
    <row r="158" spans="1:12" ht="12.15" customHeight="1" x14ac:dyDescent="0.25">
      <c r="A158" s="12" t="s">
        <v>218</v>
      </c>
      <c r="B158" s="2"/>
      <c r="J158" s="8"/>
      <c r="L158" s="862"/>
    </row>
    <row r="159" spans="1:12" ht="12.15" customHeight="1" thickBot="1" x14ac:dyDescent="0.3">
      <c r="A159" s="51"/>
      <c r="J159" s="8"/>
      <c r="L159" s="862"/>
    </row>
    <row r="160" spans="1:12" ht="12.15" customHeight="1" thickBot="1" x14ac:dyDescent="0.3">
      <c r="A160" s="12" t="s">
        <v>456</v>
      </c>
      <c r="B160" s="2"/>
      <c r="J160" s="8">
        <f>'Maximum Rates'!D10</f>
        <v>74</v>
      </c>
      <c r="K160" s="917">
        <v>0</v>
      </c>
      <c r="L160" s="862">
        <f>(J160*K160)</f>
        <v>0</v>
      </c>
    </row>
    <row r="161" spans="1:12" ht="12.15" customHeight="1" x14ac:dyDescent="0.25">
      <c r="A161" s="51"/>
      <c r="J161" s="8"/>
      <c r="L161" s="862"/>
    </row>
    <row r="162" spans="1:12" ht="12.15" customHeight="1" thickBot="1" x14ac:dyDescent="0.3">
      <c r="A162" s="51"/>
      <c r="J162" s="8"/>
      <c r="L162" s="862"/>
    </row>
    <row r="163" spans="1:12" ht="12.15" customHeight="1" thickBot="1" x14ac:dyDescent="0.3">
      <c r="A163" s="12" t="s">
        <v>457</v>
      </c>
      <c r="B163" s="2"/>
      <c r="C163" s="44" t="s">
        <v>160</v>
      </c>
      <c r="J163" s="8">
        <f>'Maximum Rates'!D11</f>
        <v>60</v>
      </c>
      <c r="K163" s="917">
        <v>1</v>
      </c>
      <c r="L163" s="862">
        <f>(J163*K163)</f>
        <v>60</v>
      </c>
    </row>
    <row r="164" spans="1:12" ht="12.15" customHeight="1" thickBot="1" x14ac:dyDescent="0.3">
      <c r="A164" s="51"/>
      <c r="C164" s="44" t="s">
        <v>22</v>
      </c>
      <c r="L164" s="862"/>
    </row>
    <row r="165" spans="1:12" ht="12.15" customHeight="1" thickBot="1" x14ac:dyDescent="0.3">
      <c r="A165" s="52"/>
      <c r="B165" s="663"/>
      <c r="C165" s="663"/>
      <c r="D165" s="663"/>
      <c r="E165" s="663"/>
      <c r="F165" s="909" t="s">
        <v>1179</v>
      </c>
      <c r="G165" s="867"/>
      <c r="H165" s="867"/>
      <c r="I165" s="867"/>
      <c r="J165" s="867"/>
      <c r="K165" s="894"/>
      <c r="L165" s="6">
        <f>SUM(L151:L164)</f>
        <v>548</v>
      </c>
    </row>
    <row r="166" spans="1:12" ht="12.15" customHeight="1" thickBot="1" x14ac:dyDescent="0.3"/>
    <row r="167" spans="1:12" ht="18" customHeight="1" x14ac:dyDescent="0.25">
      <c r="A167" s="957" t="s">
        <v>1170</v>
      </c>
      <c r="B167" s="912"/>
      <c r="C167" s="912"/>
      <c r="D167" s="912"/>
      <c r="E167" s="912"/>
      <c r="F167" s="912"/>
      <c r="G167" s="912"/>
      <c r="H167" s="912"/>
      <c r="I167" s="912"/>
      <c r="J167" s="912"/>
      <c r="K167" s="912"/>
      <c r="L167" s="913"/>
    </row>
    <row r="168" spans="1:12" ht="12.15" customHeight="1" thickBot="1" x14ac:dyDescent="0.35">
      <c r="A168" s="920"/>
      <c r="B168" s="836"/>
      <c r="C168" s="836"/>
      <c r="D168" s="140"/>
      <c r="E168" s="836"/>
      <c r="F168" s="836"/>
      <c r="G168" s="836"/>
      <c r="H168" s="836"/>
      <c r="I168" s="836"/>
      <c r="J168" s="836"/>
      <c r="K168" s="921"/>
      <c r="L168" s="922"/>
    </row>
    <row r="169" spans="1:12" ht="12.15" customHeight="1" thickBot="1" x14ac:dyDescent="0.3">
      <c r="A169" s="593" t="s">
        <v>453</v>
      </c>
      <c r="B169" s="133"/>
      <c r="C169" s="836" t="s">
        <v>154</v>
      </c>
      <c r="D169" s="836"/>
      <c r="E169" s="836"/>
      <c r="F169" s="836"/>
      <c r="G169" s="836"/>
      <c r="H169" s="836"/>
      <c r="I169" s="836"/>
      <c r="J169" s="132">
        <f>'Maximum Rates'!D5</f>
        <v>122</v>
      </c>
      <c r="K169" s="917">
        <v>6</v>
      </c>
      <c r="L169" s="923">
        <f>(J169*K169)</f>
        <v>732</v>
      </c>
    </row>
    <row r="170" spans="1:12" ht="12.15" customHeight="1" x14ac:dyDescent="0.25">
      <c r="A170" s="920"/>
      <c r="B170" s="836"/>
      <c r="C170" s="836"/>
      <c r="D170" s="836"/>
      <c r="E170" s="836"/>
      <c r="F170" s="836"/>
      <c r="G170" s="836"/>
      <c r="H170" s="836"/>
      <c r="I170" s="836"/>
      <c r="J170" s="132"/>
      <c r="K170" s="921"/>
      <c r="L170" s="923"/>
    </row>
    <row r="171" spans="1:12" ht="12.15" customHeight="1" thickBot="1" x14ac:dyDescent="0.3">
      <c r="A171" s="920"/>
      <c r="B171" s="836"/>
      <c r="C171" s="836" t="s">
        <v>22</v>
      </c>
      <c r="D171" s="836"/>
      <c r="E171" s="836"/>
      <c r="F171" s="836"/>
      <c r="G171" s="836"/>
      <c r="H171" s="836"/>
      <c r="I171" s="836"/>
      <c r="J171" s="132"/>
      <c r="K171" s="921"/>
      <c r="L171" s="923"/>
    </row>
    <row r="172" spans="1:12" ht="12.15" customHeight="1" thickBot="1" x14ac:dyDescent="0.3">
      <c r="A172" s="593" t="s">
        <v>454</v>
      </c>
      <c r="B172" s="133"/>
      <c r="C172" s="836" t="s">
        <v>442</v>
      </c>
      <c r="D172" s="836"/>
      <c r="E172" s="836"/>
      <c r="F172" s="836"/>
      <c r="G172" s="836"/>
      <c r="H172" s="836"/>
      <c r="I172" s="836"/>
      <c r="J172" s="132">
        <f>'Maximum Rates'!D6</f>
        <v>140</v>
      </c>
      <c r="K172" s="917">
        <v>1</v>
      </c>
      <c r="L172" s="923">
        <f>(J172*K172)</f>
        <v>140</v>
      </c>
    </row>
    <row r="173" spans="1:12" ht="12.15" customHeight="1" x14ac:dyDescent="0.25">
      <c r="A173" s="920"/>
      <c r="B173" s="836"/>
      <c r="C173" s="836" t="s">
        <v>22</v>
      </c>
      <c r="D173" s="836"/>
      <c r="E173" s="836"/>
      <c r="F173" s="836"/>
      <c r="G173" s="836"/>
      <c r="H173" s="836"/>
      <c r="I173" s="836"/>
      <c r="J173" s="132"/>
      <c r="K173" s="921"/>
      <c r="L173" s="923"/>
    </row>
    <row r="174" spans="1:12" ht="12.15" customHeight="1" thickBot="1" x14ac:dyDescent="0.3">
      <c r="A174" s="920"/>
      <c r="B174" s="836"/>
      <c r="C174" s="836"/>
      <c r="D174" s="836"/>
      <c r="E174" s="836"/>
      <c r="F174" s="836"/>
      <c r="G174" s="836"/>
      <c r="H174" s="836"/>
      <c r="I174" s="836"/>
      <c r="J174" s="132"/>
      <c r="K174" s="921"/>
      <c r="L174" s="923"/>
    </row>
    <row r="175" spans="1:12" ht="12.15" customHeight="1" thickBot="1" x14ac:dyDescent="0.3">
      <c r="A175" s="593" t="s">
        <v>455</v>
      </c>
      <c r="B175" s="133"/>
      <c r="C175" s="836" t="s">
        <v>152</v>
      </c>
      <c r="D175" s="836"/>
      <c r="E175" s="836"/>
      <c r="F175" s="836"/>
      <c r="G175" s="836"/>
      <c r="H175" s="836"/>
      <c r="I175" s="836"/>
      <c r="J175" s="132">
        <f>'Maximum Rates'!D7</f>
        <v>102</v>
      </c>
      <c r="K175" s="917">
        <v>1</v>
      </c>
      <c r="L175" s="923">
        <f>(J175*K175)</f>
        <v>102</v>
      </c>
    </row>
    <row r="176" spans="1:12" ht="12.15" customHeight="1" x14ac:dyDescent="0.25">
      <c r="A176" s="593" t="s">
        <v>218</v>
      </c>
      <c r="B176" s="133"/>
      <c r="C176" s="836" t="s">
        <v>22</v>
      </c>
      <c r="D176" s="836"/>
      <c r="E176" s="836"/>
      <c r="F176" s="836"/>
      <c r="G176" s="836"/>
      <c r="H176" s="836"/>
      <c r="I176" s="836"/>
      <c r="J176" s="132"/>
      <c r="K176" s="921"/>
      <c r="L176" s="923"/>
    </row>
    <row r="177" spans="1:12" ht="12.15" customHeight="1" thickBot="1" x14ac:dyDescent="0.3">
      <c r="A177" s="920"/>
      <c r="B177" s="836"/>
      <c r="C177" s="836"/>
      <c r="D177" s="836"/>
      <c r="E177" s="836"/>
      <c r="F177" s="836"/>
      <c r="G177" s="836"/>
      <c r="H177" s="836"/>
      <c r="I177" s="836"/>
      <c r="J177" s="132"/>
      <c r="K177" s="921"/>
      <c r="L177" s="923"/>
    </row>
    <row r="178" spans="1:12" ht="12.15" customHeight="1" thickBot="1" x14ac:dyDescent="0.3">
      <c r="A178" s="593" t="s">
        <v>456</v>
      </c>
      <c r="B178" s="133"/>
      <c r="C178" s="836" t="s">
        <v>367</v>
      </c>
      <c r="D178" s="836"/>
      <c r="E178" s="836"/>
      <c r="F178" s="836"/>
      <c r="G178" s="836"/>
      <c r="H178" s="836"/>
      <c r="I178" s="836"/>
      <c r="J178" s="132">
        <f>'Maximum Rates'!D10</f>
        <v>74</v>
      </c>
      <c r="K178" s="917">
        <v>1</v>
      </c>
      <c r="L178" s="923">
        <f>(J178*K178)</f>
        <v>74</v>
      </c>
    </row>
    <row r="179" spans="1:12" ht="12.15" customHeight="1" x14ac:dyDescent="0.25">
      <c r="A179" s="920"/>
      <c r="B179" s="836"/>
      <c r="C179" s="836"/>
      <c r="D179" s="836"/>
      <c r="E179" s="836"/>
      <c r="F179" s="836"/>
      <c r="G179" s="836"/>
      <c r="H179" s="836"/>
      <c r="I179" s="836"/>
      <c r="J179" s="132"/>
      <c r="K179" s="921"/>
      <c r="L179" s="923"/>
    </row>
    <row r="180" spans="1:12" ht="12.15" customHeight="1" thickBot="1" x14ac:dyDescent="0.3">
      <c r="A180" s="920"/>
      <c r="B180" s="836"/>
      <c r="C180" s="836" t="s">
        <v>22</v>
      </c>
      <c r="D180" s="836"/>
      <c r="E180" s="836"/>
      <c r="F180" s="836"/>
      <c r="G180" s="836"/>
      <c r="H180" s="836"/>
      <c r="I180" s="836"/>
      <c r="J180" s="132"/>
      <c r="K180" s="921"/>
      <c r="L180" s="923"/>
    </row>
    <row r="181" spans="1:12" ht="12.15" customHeight="1" thickBot="1" x14ac:dyDescent="0.3">
      <c r="A181" s="593" t="s">
        <v>457</v>
      </c>
      <c r="B181" s="133"/>
      <c r="C181" s="836" t="s">
        <v>149</v>
      </c>
      <c r="D181" s="836"/>
      <c r="E181" s="836"/>
      <c r="F181" s="836"/>
      <c r="G181" s="836"/>
      <c r="H181" s="836"/>
      <c r="I181" s="836"/>
      <c r="J181" s="132">
        <f>'Maximum Rates'!D11</f>
        <v>60</v>
      </c>
      <c r="K181" s="917">
        <v>2</v>
      </c>
      <c r="L181" s="923">
        <f>(J181*K181)</f>
        <v>120</v>
      </c>
    </row>
    <row r="182" spans="1:12" ht="12.15" customHeight="1" thickBot="1" x14ac:dyDescent="0.3">
      <c r="A182" s="920"/>
      <c r="B182" s="836"/>
      <c r="C182" s="836" t="s">
        <v>22</v>
      </c>
      <c r="D182" s="836"/>
      <c r="E182" s="836"/>
      <c r="F182" s="836"/>
      <c r="G182" s="836"/>
      <c r="H182" s="836"/>
      <c r="I182" s="836"/>
      <c r="J182" s="836"/>
      <c r="K182" s="921"/>
      <c r="L182" s="923"/>
    </row>
    <row r="183" spans="1:12" ht="12.15" customHeight="1" thickBot="1" x14ac:dyDescent="0.3">
      <c r="A183" s="924"/>
      <c r="B183" s="925"/>
      <c r="C183" s="925"/>
      <c r="D183" s="925"/>
      <c r="E183" s="925"/>
      <c r="F183" s="909" t="s">
        <v>71</v>
      </c>
      <c r="G183" s="867"/>
      <c r="H183" s="867"/>
      <c r="I183" s="867"/>
      <c r="J183" s="867"/>
      <c r="K183" s="894"/>
      <c r="L183" s="252">
        <f>SUM(L169:L182)</f>
        <v>1168</v>
      </c>
    </row>
    <row r="184" spans="1:12" ht="12.15" customHeight="1" thickBot="1" x14ac:dyDescent="0.3"/>
    <row r="185" spans="1:12" ht="18" customHeight="1" x14ac:dyDescent="0.25">
      <c r="A185" s="875" t="s">
        <v>70</v>
      </c>
      <c r="B185" s="860"/>
      <c r="C185" s="860"/>
      <c r="D185" s="860"/>
      <c r="E185" s="860"/>
      <c r="F185" s="860"/>
      <c r="G185" s="860"/>
      <c r="H185" s="860"/>
      <c r="I185" s="860"/>
      <c r="J185" s="860"/>
      <c r="K185" s="860"/>
      <c r="L185" s="861"/>
    </row>
    <row r="186" spans="1:12" ht="12.15" customHeight="1" thickBot="1" x14ac:dyDescent="0.35">
      <c r="A186" s="51"/>
      <c r="D186" s="16"/>
      <c r="L186" s="916"/>
    </row>
    <row r="187" spans="1:12" ht="12.15" customHeight="1" thickBot="1" x14ac:dyDescent="0.3">
      <c r="A187" s="12" t="s">
        <v>453</v>
      </c>
      <c r="B187" s="2"/>
      <c r="C187" s="44" t="s">
        <v>156</v>
      </c>
      <c r="J187" s="8">
        <f>'Maximum Rates'!D5</f>
        <v>122</v>
      </c>
      <c r="K187" s="917">
        <v>8</v>
      </c>
      <c r="L187" s="862">
        <f>(J187*K187)</f>
        <v>976</v>
      </c>
    </row>
    <row r="188" spans="1:12" ht="12.15" customHeight="1" x14ac:dyDescent="0.25">
      <c r="A188" s="51"/>
      <c r="C188" s="44" t="s">
        <v>157</v>
      </c>
      <c r="J188" s="8"/>
      <c r="L188" s="862"/>
    </row>
    <row r="189" spans="1:12" ht="12.15" customHeight="1" thickBot="1" x14ac:dyDescent="0.3">
      <c r="A189" s="51"/>
      <c r="C189" s="44" t="s">
        <v>22</v>
      </c>
      <c r="J189" s="8"/>
      <c r="L189" s="862"/>
    </row>
    <row r="190" spans="1:12" ht="12.15" customHeight="1" thickBot="1" x14ac:dyDescent="0.3">
      <c r="A190" s="12" t="s">
        <v>454</v>
      </c>
      <c r="B190" s="2"/>
      <c r="C190" s="44" t="s">
        <v>442</v>
      </c>
      <c r="J190" s="8">
        <f>'Maximum Rates'!D6</f>
        <v>140</v>
      </c>
      <c r="K190" s="917">
        <v>1</v>
      </c>
      <c r="L190" s="862">
        <f>(J190*K190)</f>
        <v>140</v>
      </c>
    </row>
    <row r="191" spans="1:12" ht="12.15" customHeight="1" x14ac:dyDescent="0.25">
      <c r="A191" s="51"/>
      <c r="C191" s="44" t="s">
        <v>22</v>
      </c>
      <c r="J191" s="8"/>
      <c r="L191" s="862"/>
    </row>
    <row r="192" spans="1:12" ht="12.15" customHeight="1" thickBot="1" x14ac:dyDescent="0.3">
      <c r="A192" s="51"/>
      <c r="J192" s="8"/>
      <c r="L192" s="862"/>
    </row>
    <row r="193" spans="1:12" ht="12.15" customHeight="1" thickBot="1" x14ac:dyDescent="0.3">
      <c r="A193" s="12" t="s">
        <v>455</v>
      </c>
      <c r="B193" s="2"/>
      <c r="C193" s="44" t="s">
        <v>594</v>
      </c>
      <c r="J193" s="8">
        <f>'Maximum Rates'!D7</f>
        <v>102</v>
      </c>
      <c r="K193" s="917">
        <v>3</v>
      </c>
      <c r="L193" s="862">
        <f>(J193*K193)</f>
        <v>306</v>
      </c>
    </row>
    <row r="194" spans="1:12" ht="12.15" customHeight="1" x14ac:dyDescent="0.25">
      <c r="A194" s="12" t="s">
        <v>218</v>
      </c>
      <c r="B194" s="2"/>
      <c r="C194" s="44" t="s">
        <v>22</v>
      </c>
      <c r="J194" s="8"/>
      <c r="L194" s="862"/>
    </row>
    <row r="195" spans="1:12" ht="12.15" customHeight="1" thickBot="1" x14ac:dyDescent="0.3">
      <c r="A195" s="51"/>
      <c r="J195" s="8"/>
      <c r="L195" s="862"/>
    </row>
    <row r="196" spans="1:12" ht="12.15" customHeight="1" thickBot="1" x14ac:dyDescent="0.3">
      <c r="A196" s="12" t="s">
        <v>456</v>
      </c>
      <c r="B196" s="2"/>
      <c r="C196" s="44" t="s">
        <v>155</v>
      </c>
      <c r="J196" s="8">
        <f>'Maximum Rates'!D10</f>
        <v>74</v>
      </c>
      <c r="K196" s="917">
        <v>1</v>
      </c>
      <c r="L196" s="862">
        <f>(J196*K196)</f>
        <v>74</v>
      </c>
    </row>
    <row r="197" spans="1:12" ht="12.15" customHeight="1" x14ac:dyDescent="0.25">
      <c r="A197" s="51"/>
      <c r="J197" s="8"/>
      <c r="L197" s="862"/>
    </row>
    <row r="198" spans="1:12" ht="12.15" customHeight="1" thickBot="1" x14ac:dyDescent="0.3">
      <c r="A198" s="51"/>
      <c r="J198" s="8"/>
      <c r="L198" s="862"/>
    </row>
    <row r="199" spans="1:12" ht="12.15" customHeight="1" thickBot="1" x14ac:dyDescent="0.3">
      <c r="A199" s="12" t="s">
        <v>457</v>
      </c>
      <c r="B199" s="2"/>
      <c r="C199" s="44" t="s">
        <v>574</v>
      </c>
      <c r="J199" s="8">
        <f>'Maximum Rates'!D11</f>
        <v>60</v>
      </c>
      <c r="K199" s="917">
        <v>4</v>
      </c>
      <c r="L199" s="862">
        <f>(J199*K199)</f>
        <v>240</v>
      </c>
    </row>
    <row r="200" spans="1:12" ht="12.15" customHeight="1" thickBot="1" x14ac:dyDescent="0.3">
      <c r="A200" s="51"/>
      <c r="C200" s="44" t="s">
        <v>22</v>
      </c>
      <c r="L200" s="862"/>
    </row>
    <row r="201" spans="1:12" ht="12.15" customHeight="1" thickBot="1" x14ac:dyDescent="0.3">
      <c r="A201" s="52"/>
      <c r="B201" s="663"/>
      <c r="C201" s="663"/>
      <c r="D201" s="663"/>
      <c r="E201" s="663"/>
      <c r="F201" s="628" t="s">
        <v>72</v>
      </c>
      <c r="G201" s="632"/>
      <c r="H201" s="632"/>
      <c r="I201" s="632"/>
      <c r="J201" s="632"/>
      <c r="K201" s="918"/>
      <c r="L201" s="6">
        <f>SUM(L187:L200)</f>
        <v>1736</v>
      </c>
    </row>
    <row r="202" spans="1:12" ht="12.15" customHeight="1" thickBot="1" x14ac:dyDescent="0.3"/>
    <row r="203" spans="1:12" ht="18" customHeight="1" x14ac:dyDescent="0.3">
      <c r="A203" s="958" t="s">
        <v>827</v>
      </c>
      <c r="B203" s="910"/>
      <c r="C203" s="910"/>
      <c r="D203" s="860"/>
      <c r="E203" s="910"/>
      <c r="F203" s="910"/>
      <c r="G203" s="910"/>
      <c r="H203" s="910"/>
      <c r="I203" s="910"/>
      <c r="J203" s="910"/>
      <c r="K203" s="910"/>
      <c r="L203" s="911"/>
    </row>
    <row r="204" spans="1:12" ht="12.15" customHeight="1" thickBot="1" x14ac:dyDescent="0.35">
      <c r="A204" s="51"/>
      <c r="D204" s="16"/>
      <c r="L204" s="916"/>
    </row>
    <row r="205" spans="1:12" ht="12.15" customHeight="1" thickBot="1" x14ac:dyDescent="0.3">
      <c r="A205" s="12" t="s">
        <v>453</v>
      </c>
      <c r="B205" s="2"/>
      <c r="C205" s="44" t="s">
        <v>916</v>
      </c>
      <c r="J205" s="8">
        <f>'Maximum Rates'!D5</f>
        <v>122</v>
      </c>
      <c r="K205" s="917">
        <v>1</v>
      </c>
      <c r="L205" s="862">
        <f>(J205*K205)</f>
        <v>122</v>
      </c>
    </row>
    <row r="206" spans="1:12" ht="12.15" customHeight="1" x14ac:dyDescent="0.25">
      <c r="A206" s="51"/>
      <c r="J206" s="8"/>
      <c r="L206" s="862"/>
    </row>
    <row r="207" spans="1:12" ht="12.15" customHeight="1" thickBot="1" x14ac:dyDescent="0.3">
      <c r="A207" s="51"/>
      <c r="J207" s="8"/>
      <c r="L207" s="862"/>
    </row>
    <row r="208" spans="1:12" ht="12.15" customHeight="1" thickBot="1" x14ac:dyDescent="0.3">
      <c r="A208" s="12" t="s">
        <v>454</v>
      </c>
      <c r="B208" s="2"/>
      <c r="J208" s="8">
        <f>'Maximum Rates'!D6</f>
        <v>140</v>
      </c>
      <c r="K208" s="917"/>
      <c r="L208" s="862">
        <f>(J208*K208)</f>
        <v>0</v>
      </c>
    </row>
    <row r="209" spans="1:12" ht="12.15" customHeight="1" x14ac:dyDescent="0.25">
      <c r="A209" s="51"/>
      <c r="J209" s="8"/>
      <c r="L209" s="862"/>
    </row>
    <row r="210" spans="1:12" ht="12.15" customHeight="1" thickBot="1" x14ac:dyDescent="0.3">
      <c r="A210" s="51"/>
      <c r="J210" s="8"/>
      <c r="L210" s="862"/>
    </row>
    <row r="211" spans="1:12" ht="12.15" customHeight="1" thickBot="1" x14ac:dyDescent="0.3">
      <c r="A211" s="12" t="s">
        <v>455</v>
      </c>
      <c r="B211" s="2"/>
      <c r="J211" s="8">
        <f>'Maximum Rates'!D7</f>
        <v>102</v>
      </c>
      <c r="K211" s="917"/>
      <c r="L211" s="862">
        <f>(J211*K211)</f>
        <v>0</v>
      </c>
    </row>
    <row r="212" spans="1:12" ht="12.15" customHeight="1" x14ac:dyDescent="0.25">
      <c r="A212" s="12" t="s">
        <v>218</v>
      </c>
      <c r="B212" s="2"/>
      <c r="J212" s="8"/>
      <c r="L212" s="862"/>
    </row>
    <row r="213" spans="1:12" ht="12.15" customHeight="1" thickBot="1" x14ac:dyDescent="0.3">
      <c r="A213" s="51"/>
      <c r="J213" s="8"/>
      <c r="L213" s="862"/>
    </row>
    <row r="214" spans="1:12" ht="12.15" customHeight="1" thickBot="1" x14ac:dyDescent="0.3">
      <c r="A214" s="12" t="s">
        <v>456</v>
      </c>
      <c r="B214" s="2"/>
      <c r="J214" s="8">
        <f>'Maximum Rates'!D10</f>
        <v>74</v>
      </c>
      <c r="K214" s="917"/>
      <c r="L214" s="862">
        <f>(J214*K214)</f>
        <v>0</v>
      </c>
    </row>
    <row r="215" spans="1:12" ht="12.15" customHeight="1" x14ac:dyDescent="0.25">
      <c r="A215" s="51"/>
      <c r="J215" s="8"/>
      <c r="L215" s="862"/>
    </row>
    <row r="216" spans="1:12" ht="12.15" customHeight="1" thickBot="1" x14ac:dyDescent="0.3">
      <c r="A216" s="51"/>
      <c r="J216" s="8"/>
      <c r="L216" s="862"/>
    </row>
    <row r="217" spans="1:12" ht="12.15" customHeight="1" thickBot="1" x14ac:dyDescent="0.3">
      <c r="A217" s="12" t="s">
        <v>457</v>
      </c>
      <c r="B217" s="2"/>
      <c r="C217" s="44" t="s">
        <v>574</v>
      </c>
      <c r="J217" s="8">
        <f>'Maximum Rates'!D11</f>
        <v>60</v>
      </c>
      <c r="K217" s="917">
        <v>2</v>
      </c>
      <c r="L217" s="862">
        <f>(J217*K217)</f>
        <v>120</v>
      </c>
    </row>
    <row r="218" spans="1:12" ht="12.15" customHeight="1" thickBot="1" x14ac:dyDescent="0.3">
      <c r="A218" s="51"/>
      <c r="C218" s="44" t="s">
        <v>22</v>
      </c>
      <c r="L218" s="862"/>
    </row>
    <row r="219" spans="1:12" ht="12.15" customHeight="1" thickBot="1" x14ac:dyDescent="0.3">
      <c r="A219" s="52"/>
      <c r="B219" s="663"/>
      <c r="C219" s="663"/>
      <c r="D219" s="663"/>
      <c r="E219" s="663"/>
      <c r="F219" s="628" t="s">
        <v>828</v>
      </c>
      <c r="G219" s="632"/>
      <c r="H219" s="632"/>
      <c r="I219" s="632"/>
      <c r="J219" s="632"/>
      <c r="K219" s="918"/>
      <c r="L219" s="6">
        <f>SUM(L205:L218)</f>
        <v>242</v>
      </c>
    </row>
    <row r="220" spans="1:12" ht="12.15" customHeight="1" x14ac:dyDescent="0.25">
      <c r="K220" s="44"/>
    </row>
    <row r="221" spans="1:12" ht="12.15" customHeight="1" x14ac:dyDescent="0.25">
      <c r="K221" s="44"/>
    </row>
    <row r="222" spans="1:12" ht="12.15" customHeight="1" x14ac:dyDescent="0.25">
      <c r="K222" s="44"/>
    </row>
    <row r="223" spans="1:12" ht="12.15" customHeight="1" x14ac:dyDescent="0.25">
      <c r="K223" s="44"/>
    </row>
    <row r="224" spans="1:12" ht="12.15" customHeight="1" x14ac:dyDescent="0.25">
      <c r="K224" s="44"/>
    </row>
    <row r="225" spans="1:12" ht="12.15" customHeight="1" x14ac:dyDescent="0.25">
      <c r="K225" s="44"/>
    </row>
    <row r="226" spans="1:12" ht="12.15" customHeight="1" thickBot="1" x14ac:dyDescent="0.3">
      <c r="K226" s="44"/>
    </row>
    <row r="227" spans="1:12" ht="18" customHeight="1" x14ac:dyDescent="0.3">
      <c r="A227" s="856" t="s">
        <v>1177</v>
      </c>
      <c r="B227" s="910"/>
      <c r="C227" s="910"/>
      <c r="D227" s="910"/>
      <c r="E227" s="910"/>
      <c r="F227" s="910"/>
      <c r="G227" s="910"/>
      <c r="H227" s="910"/>
      <c r="I227" s="910"/>
      <c r="J227" s="910"/>
      <c r="K227" s="910"/>
      <c r="L227" s="911"/>
    </row>
    <row r="228" spans="1:12" ht="12.15" customHeight="1" thickBot="1" x14ac:dyDescent="0.35">
      <c r="A228" s="51"/>
      <c r="D228" s="16"/>
      <c r="L228" s="916"/>
    </row>
    <row r="229" spans="1:12" ht="12.15" customHeight="1" thickBot="1" x14ac:dyDescent="0.3">
      <c r="A229" s="12" t="s">
        <v>453</v>
      </c>
      <c r="B229" s="2"/>
      <c r="C229" s="44" t="s">
        <v>1076</v>
      </c>
      <c r="J229" s="8">
        <f>'Maximum Rates'!D5</f>
        <v>122</v>
      </c>
      <c r="K229" s="917">
        <v>1</v>
      </c>
      <c r="L229" s="862">
        <f>(J229*K229)</f>
        <v>122</v>
      </c>
    </row>
    <row r="230" spans="1:12" ht="12.15" customHeight="1" x14ac:dyDescent="0.25">
      <c r="A230" s="51"/>
      <c r="C230" s="44" t="s">
        <v>1077</v>
      </c>
      <c r="J230" s="8"/>
      <c r="L230" s="862"/>
    </row>
    <row r="231" spans="1:12" ht="12.15" customHeight="1" thickBot="1" x14ac:dyDescent="0.3">
      <c r="A231" s="51"/>
      <c r="J231" s="8"/>
      <c r="L231" s="862"/>
    </row>
    <row r="232" spans="1:12" ht="12.15" customHeight="1" thickBot="1" x14ac:dyDescent="0.3">
      <c r="A232" s="12" t="s">
        <v>454</v>
      </c>
      <c r="B232" s="2"/>
      <c r="J232" s="8">
        <f>'Maximum Rates'!D6</f>
        <v>140</v>
      </c>
      <c r="K232" s="917"/>
      <c r="L232" s="862">
        <f>(J232*K232)</f>
        <v>0</v>
      </c>
    </row>
    <row r="233" spans="1:12" ht="12.15" customHeight="1" x14ac:dyDescent="0.25">
      <c r="A233" s="51"/>
      <c r="J233" s="8"/>
      <c r="L233" s="862"/>
    </row>
    <row r="234" spans="1:12" ht="12.15" customHeight="1" thickBot="1" x14ac:dyDescent="0.3">
      <c r="A234" s="51"/>
      <c r="J234" s="8"/>
      <c r="L234" s="862"/>
    </row>
    <row r="235" spans="1:12" ht="12.15" customHeight="1" thickBot="1" x14ac:dyDescent="0.3">
      <c r="A235" s="12" t="s">
        <v>455</v>
      </c>
      <c r="B235" s="2"/>
      <c r="J235" s="8">
        <f>'Maximum Rates'!D7</f>
        <v>102</v>
      </c>
      <c r="K235" s="917"/>
      <c r="L235" s="862">
        <f>(J235*K235)</f>
        <v>0</v>
      </c>
    </row>
    <row r="236" spans="1:12" ht="12.15" customHeight="1" x14ac:dyDescent="0.25">
      <c r="A236" s="12" t="s">
        <v>218</v>
      </c>
      <c r="B236" s="2"/>
      <c r="J236" s="8"/>
      <c r="L236" s="862"/>
    </row>
    <row r="237" spans="1:12" ht="12.15" customHeight="1" thickBot="1" x14ac:dyDescent="0.3">
      <c r="A237" s="51"/>
      <c r="J237" s="8"/>
      <c r="L237" s="862"/>
    </row>
    <row r="238" spans="1:12" ht="12.15" customHeight="1" thickBot="1" x14ac:dyDescent="0.3">
      <c r="A238" s="12" t="s">
        <v>456</v>
      </c>
      <c r="B238" s="2"/>
      <c r="J238" s="8">
        <f>'Maximum Rates'!D10</f>
        <v>74</v>
      </c>
      <c r="K238" s="917"/>
      <c r="L238" s="862">
        <f>(J238*K238)</f>
        <v>0</v>
      </c>
    </row>
    <row r="239" spans="1:12" ht="12.15" customHeight="1" x14ac:dyDescent="0.25">
      <c r="A239" s="51"/>
      <c r="J239" s="8"/>
      <c r="L239" s="862"/>
    </row>
    <row r="240" spans="1:12" ht="12.15" customHeight="1" thickBot="1" x14ac:dyDescent="0.3">
      <c r="A240" s="51"/>
      <c r="J240" s="8"/>
      <c r="L240" s="862"/>
    </row>
    <row r="241" spans="1:12" ht="12.15" customHeight="1" thickBot="1" x14ac:dyDescent="0.3">
      <c r="A241" s="12" t="s">
        <v>457</v>
      </c>
      <c r="B241" s="2"/>
      <c r="J241" s="8">
        <f>'Maximum Rates'!D11</f>
        <v>60</v>
      </c>
      <c r="K241" s="917"/>
      <c r="L241" s="862">
        <f>(J241*K241)</f>
        <v>0</v>
      </c>
    </row>
    <row r="242" spans="1:12" ht="12.15" customHeight="1" thickBot="1" x14ac:dyDescent="0.3">
      <c r="A242" s="51"/>
      <c r="L242" s="862"/>
    </row>
    <row r="243" spans="1:12" ht="12.15" customHeight="1" thickBot="1" x14ac:dyDescent="0.3">
      <c r="A243" s="52"/>
      <c r="B243" s="663"/>
      <c r="C243" s="663"/>
      <c r="D243" s="663"/>
      <c r="E243" s="663"/>
      <c r="F243" s="628" t="s">
        <v>1112</v>
      </c>
      <c r="G243" s="632"/>
      <c r="H243" s="632"/>
      <c r="I243" s="632"/>
      <c r="J243" s="632"/>
      <c r="K243" s="918"/>
      <c r="L243" s="6">
        <f>SUM(L229:L242)</f>
        <v>122</v>
      </c>
    </row>
    <row r="244" spans="1:12" ht="12.15" customHeight="1" thickBot="1" x14ac:dyDescent="0.3"/>
    <row r="245" spans="1:12" ht="18" customHeight="1" x14ac:dyDescent="0.3">
      <c r="A245" s="856" t="s">
        <v>1178</v>
      </c>
      <c r="B245" s="910"/>
      <c r="C245" s="910"/>
      <c r="D245" s="910"/>
      <c r="E245" s="910"/>
      <c r="F245" s="910"/>
      <c r="G245" s="910"/>
      <c r="H245" s="910"/>
      <c r="I245" s="910"/>
      <c r="J245" s="910"/>
      <c r="K245" s="910"/>
      <c r="L245" s="911"/>
    </row>
    <row r="246" spans="1:12" ht="12.15" customHeight="1" thickBot="1" x14ac:dyDescent="0.35">
      <c r="A246" s="51"/>
      <c r="D246" s="16"/>
      <c r="L246" s="916"/>
    </row>
    <row r="247" spans="1:12" ht="12.15" customHeight="1" thickBot="1" x14ac:dyDescent="0.3">
      <c r="A247" s="12" t="s">
        <v>453</v>
      </c>
      <c r="B247" s="2"/>
      <c r="C247" s="44" t="s">
        <v>1078</v>
      </c>
      <c r="J247" s="8">
        <f>'Maximum Rates'!D5</f>
        <v>122</v>
      </c>
      <c r="K247" s="917">
        <v>2</v>
      </c>
      <c r="L247" s="862">
        <f>(J247*K247)</f>
        <v>244</v>
      </c>
    </row>
    <row r="248" spans="1:12" ht="12.15" customHeight="1" x14ac:dyDescent="0.25">
      <c r="A248" s="51"/>
      <c r="C248" s="44" t="s">
        <v>1079</v>
      </c>
      <c r="J248" s="8"/>
      <c r="L248" s="862"/>
    </row>
    <row r="249" spans="1:12" ht="12.15" customHeight="1" thickBot="1" x14ac:dyDescent="0.3">
      <c r="A249" s="51"/>
      <c r="J249" s="8"/>
      <c r="L249" s="862"/>
    </row>
    <row r="250" spans="1:12" ht="12.15" customHeight="1" thickBot="1" x14ac:dyDescent="0.3">
      <c r="A250" s="12" t="s">
        <v>454</v>
      </c>
      <c r="B250" s="2"/>
      <c r="C250" s="44" t="s">
        <v>1171</v>
      </c>
      <c r="J250" s="8">
        <f>'Maximum Rates'!D6</f>
        <v>140</v>
      </c>
      <c r="K250" s="917">
        <v>1</v>
      </c>
      <c r="L250" s="862">
        <f>(J250*K250)</f>
        <v>140</v>
      </c>
    </row>
    <row r="251" spans="1:12" ht="12.15" customHeight="1" x14ac:dyDescent="0.25">
      <c r="A251" s="51"/>
      <c r="J251" s="8"/>
      <c r="L251" s="862"/>
    </row>
    <row r="252" spans="1:12" ht="12.15" customHeight="1" thickBot="1" x14ac:dyDescent="0.3">
      <c r="A252" s="51"/>
      <c r="J252" s="8"/>
      <c r="L252" s="862"/>
    </row>
    <row r="253" spans="1:12" ht="12.15" customHeight="1" thickBot="1" x14ac:dyDescent="0.3">
      <c r="A253" s="12" t="s">
        <v>455</v>
      </c>
      <c r="B253" s="2"/>
      <c r="J253" s="8">
        <f>'Maximum Rates'!D7</f>
        <v>102</v>
      </c>
      <c r="K253" s="917"/>
      <c r="L253" s="862">
        <f>(J253*K253)</f>
        <v>0</v>
      </c>
    </row>
    <row r="254" spans="1:12" ht="12.15" customHeight="1" x14ac:dyDescent="0.25">
      <c r="A254" s="12" t="s">
        <v>218</v>
      </c>
      <c r="B254" s="2"/>
      <c r="J254" s="8"/>
      <c r="L254" s="862"/>
    </row>
    <row r="255" spans="1:12" ht="12.15" customHeight="1" thickBot="1" x14ac:dyDescent="0.3">
      <c r="A255" s="51"/>
      <c r="J255" s="8"/>
      <c r="L255" s="862"/>
    </row>
    <row r="256" spans="1:12" ht="12.15" customHeight="1" thickBot="1" x14ac:dyDescent="0.3">
      <c r="A256" s="12" t="s">
        <v>456</v>
      </c>
      <c r="B256" s="2"/>
      <c r="J256" s="8">
        <f>'Maximum Rates'!D10</f>
        <v>74</v>
      </c>
      <c r="K256" s="917"/>
      <c r="L256" s="862">
        <f>(J256*K256)</f>
        <v>0</v>
      </c>
    </row>
    <row r="257" spans="1:12" ht="12.15" customHeight="1" x14ac:dyDescent="0.25">
      <c r="A257" s="51"/>
      <c r="J257" s="8"/>
      <c r="L257" s="862"/>
    </row>
    <row r="258" spans="1:12" ht="12.15" customHeight="1" thickBot="1" x14ac:dyDescent="0.3">
      <c r="A258" s="51"/>
      <c r="J258" s="8"/>
      <c r="L258" s="862"/>
    </row>
    <row r="259" spans="1:12" ht="12.15" customHeight="1" thickBot="1" x14ac:dyDescent="0.3">
      <c r="A259" s="12" t="s">
        <v>457</v>
      </c>
      <c r="B259" s="2"/>
      <c r="J259" s="8">
        <f>'Maximum Rates'!D11</f>
        <v>60</v>
      </c>
      <c r="K259" s="917"/>
      <c r="L259" s="862">
        <f>(J259*K259)</f>
        <v>0</v>
      </c>
    </row>
    <row r="260" spans="1:12" ht="12.15" customHeight="1" thickBot="1" x14ac:dyDescent="0.3">
      <c r="A260" s="51"/>
      <c r="L260" s="862"/>
    </row>
    <row r="261" spans="1:12" ht="12.15" customHeight="1" thickBot="1" x14ac:dyDescent="0.3">
      <c r="A261" s="52"/>
      <c r="B261" s="663"/>
      <c r="C261" s="663"/>
      <c r="D261" s="663"/>
      <c r="E261" s="663"/>
      <c r="F261" s="628" t="s">
        <v>1113</v>
      </c>
      <c r="G261" s="632"/>
      <c r="H261" s="632"/>
      <c r="I261" s="632"/>
      <c r="J261" s="632"/>
      <c r="K261" s="918"/>
      <c r="L261" s="6">
        <f>SUM(L247:L260)</f>
        <v>384</v>
      </c>
    </row>
    <row r="262" spans="1:12" ht="13.8" thickBot="1" x14ac:dyDescent="0.3"/>
    <row r="263" spans="1:12" ht="17.399999999999999" x14ac:dyDescent="0.25">
      <c r="A263" s="875" t="s">
        <v>1356</v>
      </c>
      <c r="B263" s="860"/>
      <c r="C263" s="860"/>
      <c r="D263" s="860"/>
      <c r="E263" s="860"/>
      <c r="F263" s="860"/>
      <c r="G263" s="860"/>
      <c r="H263" s="860"/>
      <c r="I263" s="860"/>
      <c r="J263" s="860"/>
      <c r="K263" s="860"/>
      <c r="L263" s="861"/>
    </row>
    <row r="264" spans="1:12" ht="18" thickBot="1" x14ac:dyDescent="0.35">
      <c r="A264" s="51"/>
      <c r="D264" s="16"/>
      <c r="L264" s="916"/>
    </row>
    <row r="265" spans="1:12" ht="13.8" thickBot="1" x14ac:dyDescent="0.3">
      <c r="A265" s="12" t="s">
        <v>453</v>
      </c>
      <c r="B265" s="2"/>
      <c r="C265" s="44" t="s">
        <v>1319</v>
      </c>
      <c r="J265" s="8">
        <f>'Maximum Rates'!D5</f>
        <v>122</v>
      </c>
      <c r="K265" s="917">
        <v>1</v>
      </c>
      <c r="L265" s="862">
        <f>(J265*K265)</f>
        <v>122</v>
      </c>
    </row>
    <row r="266" spans="1:12" x14ac:dyDescent="0.25">
      <c r="A266" s="51"/>
      <c r="C266" s="44" t="s">
        <v>22</v>
      </c>
      <c r="J266" s="8"/>
      <c r="L266" s="862"/>
    </row>
    <row r="267" spans="1:12" ht="13.8" thickBot="1" x14ac:dyDescent="0.3">
      <c r="A267" s="51"/>
      <c r="J267" s="8"/>
      <c r="L267" s="862"/>
    </row>
    <row r="268" spans="1:12" ht="13.8" thickBot="1" x14ac:dyDescent="0.3">
      <c r="A268" s="12" t="s">
        <v>454</v>
      </c>
      <c r="B268" s="2"/>
      <c r="C268" s="44" t="s">
        <v>595</v>
      </c>
      <c r="J268" s="8">
        <f>'Maximum Rates'!D6</f>
        <v>140</v>
      </c>
      <c r="K268" s="917">
        <v>1</v>
      </c>
      <c r="L268" s="862">
        <f>(J268*K268)</f>
        <v>140</v>
      </c>
    </row>
    <row r="269" spans="1:12" x14ac:dyDescent="0.25">
      <c r="A269" s="51"/>
      <c r="C269" s="44" t="s">
        <v>22</v>
      </c>
      <c r="J269" s="8"/>
      <c r="L269" s="862"/>
    </row>
    <row r="270" spans="1:12" ht="13.8" thickBot="1" x14ac:dyDescent="0.3">
      <c r="A270" s="51"/>
      <c r="J270" s="8"/>
      <c r="L270" s="862"/>
    </row>
    <row r="271" spans="1:12" ht="13.8" thickBot="1" x14ac:dyDescent="0.3">
      <c r="A271" s="12" t="s">
        <v>455</v>
      </c>
      <c r="B271" s="2"/>
      <c r="C271" s="44" t="s">
        <v>592</v>
      </c>
      <c r="J271" s="8">
        <f>'Maximum Rates'!D7</f>
        <v>102</v>
      </c>
      <c r="K271" s="917">
        <v>1</v>
      </c>
      <c r="L271" s="862">
        <f>(J271*K271)</f>
        <v>102</v>
      </c>
    </row>
    <row r="272" spans="1:12" x14ac:dyDescent="0.25">
      <c r="A272" s="12" t="s">
        <v>218</v>
      </c>
      <c r="B272" s="2"/>
      <c r="C272" s="44" t="s">
        <v>22</v>
      </c>
      <c r="J272" s="8"/>
      <c r="L272" s="862"/>
    </row>
    <row r="273" spans="1:12" ht="13.8" thickBot="1" x14ac:dyDescent="0.3">
      <c r="A273" s="51"/>
      <c r="J273" s="8"/>
      <c r="L273" s="862"/>
    </row>
    <row r="274" spans="1:12" ht="13.8" thickBot="1" x14ac:dyDescent="0.3">
      <c r="A274" s="12" t="s">
        <v>456</v>
      </c>
      <c r="B274" s="2"/>
      <c r="C274" s="44" t="s">
        <v>161</v>
      </c>
      <c r="J274" s="8">
        <f>'Maximum Rates'!D10</f>
        <v>74</v>
      </c>
      <c r="K274" s="917">
        <v>1</v>
      </c>
      <c r="L274" s="862">
        <f>(J274*K274)</f>
        <v>74</v>
      </c>
    </row>
    <row r="275" spans="1:12" x14ac:dyDescent="0.25">
      <c r="A275" s="51"/>
      <c r="J275" s="8"/>
      <c r="L275" s="862"/>
    </row>
    <row r="276" spans="1:12" ht="13.8" thickBot="1" x14ac:dyDescent="0.3">
      <c r="A276" s="51"/>
      <c r="J276" s="8"/>
      <c r="L276" s="862"/>
    </row>
    <row r="277" spans="1:12" ht="13.8" thickBot="1" x14ac:dyDescent="0.3">
      <c r="A277" s="12" t="s">
        <v>457</v>
      </c>
      <c r="B277" s="2"/>
      <c r="C277" s="44" t="s">
        <v>158</v>
      </c>
      <c r="J277" s="8">
        <f>'Maximum Rates'!D11</f>
        <v>60</v>
      </c>
      <c r="K277" s="917">
        <v>1</v>
      </c>
      <c r="L277" s="862">
        <f>(J277*K277)</f>
        <v>60</v>
      </c>
    </row>
    <row r="278" spans="1:12" ht="13.8" thickBot="1" x14ac:dyDescent="0.3">
      <c r="A278" s="51"/>
      <c r="C278" s="44" t="s">
        <v>22</v>
      </c>
      <c r="L278" s="862"/>
    </row>
    <row r="279" spans="1:12" ht="13.8" thickBot="1" x14ac:dyDescent="0.3">
      <c r="A279" s="52"/>
      <c r="B279" s="663"/>
      <c r="C279" s="663"/>
      <c r="D279" s="663"/>
      <c r="E279" s="663"/>
      <c r="F279" s="565" t="s">
        <v>1358</v>
      </c>
      <c r="G279" s="632"/>
      <c r="H279" s="632"/>
      <c r="I279" s="632"/>
      <c r="J279" s="632"/>
      <c r="K279" s="918"/>
      <c r="L279" s="6">
        <f>SUM(L265:L278)</f>
        <v>498</v>
      </c>
    </row>
  </sheetData>
  <sheetProtection algorithmName="SHA-512" hashValue="glB6Wq+W2oYtYBdU3uXQsQo50Siy/Sd18mwowyuI/cgLkPE9G8eYDx0gOvBPsQ61CIgL6IszRyTlluBbVUT5lw==" saltValue="wwOAarikRoqGbIYPuPNl8w==" spinCount="100000" sheet="1" objects="1" scenarios="1" selectLockedCells="1"/>
  <customSheetViews>
    <customSheetView guid="{BC429C65-53B8-4F97-88D2-74ECCD734800}" scale="90" showGridLines="0" showRowCol="0" state="hidden">
      <selection activeCell="L6" sqref="L6"/>
      <rowBreaks count="3" manualBreakCount="3">
        <brk id="57" max="16383" man="1"/>
        <brk id="110" min="1" max="11" man="1"/>
        <brk id="161" min="1" max="11" man="1"/>
      </rowBreaks>
      <pageMargins left="0.25" right="0.25" top="1" bottom="0.25" header="0.5" footer="0.5"/>
      <printOptions horizontalCentered="1"/>
      <pageSetup scale="90" orientation="portrait" r:id="rId1"/>
      <headerFooter alignWithMargins="0"/>
    </customSheetView>
  </customSheetViews>
  <phoneticPr fontId="4" type="noConversion"/>
  <printOptions horizontalCentered="1"/>
  <pageMargins left="0.25" right="0.25" top="0.75" bottom="0.25" header="0.17" footer="0.5"/>
  <pageSetup orientation="portrait" r:id="rId2"/>
  <headerFooter alignWithMargins="0">
    <oddHeader>&amp;C&amp;18Units for Miscellaneous Items</oddHeader>
  </headerFooter>
  <rowBreaks count="2" manualBreakCount="2">
    <brk id="114" max="16383" man="1"/>
    <brk id="165" max="1638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0">
    <tabColor rgb="FFFF7C80"/>
  </sheetPr>
  <dimension ref="A1:K14"/>
  <sheetViews>
    <sheetView showGridLines="0" showRowColHeaders="0" zoomScale="120" zoomScaleNormal="120" workbookViewId="0">
      <selection activeCell="F5" sqref="B5:J10"/>
    </sheetView>
  </sheetViews>
  <sheetFormatPr defaultRowHeight="13.2" x14ac:dyDescent="0.25"/>
  <cols>
    <col min="1" max="1" width="13.6640625" style="2419" customWidth="1"/>
    <col min="2" max="2" width="11.44140625" customWidth="1"/>
    <col min="3" max="3" width="12.88671875" customWidth="1"/>
    <col min="4" max="4" width="9.33203125" customWidth="1"/>
    <col min="5" max="5" width="8.5546875" customWidth="1"/>
    <col min="6" max="6" width="14.109375" customWidth="1"/>
    <col min="7" max="7" width="7.44140625" customWidth="1"/>
    <col min="8" max="8" width="7.6640625" customWidth="1"/>
    <col min="9" max="10" width="8.44140625" customWidth="1"/>
    <col min="11" max="11" width="13.109375" customWidth="1"/>
  </cols>
  <sheetData>
    <row r="1" spans="1:11" x14ac:dyDescent="0.25">
      <c r="A1" s="2418"/>
    </row>
    <row r="2" spans="1:11" ht="13.8" thickBot="1" x14ac:dyDescent="0.3">
      <c r="A2" s="2418"/>
    </row>
    <row r="3" spans="1:11" ht="18" thickBot="1" x14ac:dyDescent="0.3">
      <c r="B3" s="2045" t="s">
        <v>1013</v>
      </c>
      <c r="C3" s="2046"/>
      <c r="D3" s="2046"/>
      <c r="E3" s="2046"/>
      <c r="F3" s="2046"/>
      <c r="G3" s="2046"/>
      <c r="H3" s="2046"/>
      <c r="I3" s="2046"/>
      <c r="J3" s="2046"/>
      <c r="K3" s="2047"/>
    </row>
    <row r="4" spans="1:11" x14ac:dyDescent="0.25">
      <c r="B4" s="2048" t="s">
        <v>1011</v>
      </c>
      <c r="C4" s="2049"/>
      <c r="D4" s="2050" t="s">
        <v>1008</v>
      </c>
      <c r="E4" s="2051"/>
      <c r="F4" s="2052"/>
      <c r="G4" s="1616" t="s">
        <v>1007</v>
      </c>
      <c r="H4" s="2069" t="s">
        <v>1012</v>
      </c>
      <c r="I4" s="2070"/>
      <c r="J4" s="2069" t="s">
        <v>1018</v>
      </c>
      <c r="K4" s="2073"/>
    </row>
    <row r="5" spans="1:11" ht="13.8" thickBot="1" x14ac:dyDescent="0.3">
      <c r="B5" s="2071">
        <f>IF('PR Part I Total'!$E$17="","",'PR Part I Total'!$E$17)</f>
        <v>0</v>
      </c>
      <c r="C5" s="2072"/>
      <c r="D5" s="2066" t="str">
        <f>IF('PR Part I Info'!$F$12="","",'PR Part I Info'!$F$12)</f>
        <v>Enter Information from CP Form</v>
      </c>
      <c r="E5" s="2067"/>
      <c r="F5" s="2068"/>
      <c r="G5" s="677" t="str">
        <f>IF('PR Part I Info'!$B$8="","",'PR Part I Info'!$B$8)</f>
        <v>Enter Information from CP Form</v>
      </c>
      <c r="H5" s="2066" t="str">
        <f>IF('PR Part I Info'!$B$12="","",'PR Part I Info'!$B$12)</f>
        <v>Enter Information from CP Form</v>
      </c>
      <c r="I5" s="2068"/>
      <c r="J5" s="2066" t="str">
        <f>IF('PR Part I Info'!$D$17="","",'PR Part I Info'!$D$17)</f>
        <v>Enter Information from CP Form</v>
      </c>
      <c r="K5" s="2068"/>
    </row>
    <row r="6" spans="1:11" ht="16.2" thickBot="1" x14ac:dyDescent="0.3">
      <c r="B6" s="812" t="s">
        <v>879</v>
      </c>
      <c r="C6" s="813"/>
      <c r="D6" s="813"/>
      <c r="E6" s="813"/>
      <c r="F6" s="813"/>
      <c r="G6" s="813"/>
      <c r="H6" s="813"/>
      <c r="I6" s="813"/>
      <c r="J6" s="813"/>
      <c r="K6" s="814"/>
    </row>
    <row r="7" spans="1:11" ht="14.4" thickBot="1" x14ac:dyDescent="0.3">
      <c r="B7" s="820">
        <v>0</v>
      </c>
      <c r="C7" s="821"/>
      <c r="D7" s="821" t="s">
        <v>314</v>
      </c>
      <c r="E7" s="821"/>
      <c r="F7" s="821"/>
      <c r="G7" s="821"/>
      <c r="H7" s="822" t="s">
        <v>215</v>
      </c>
      <c r="I7" s="823" t="s">
        <v>126</v>
      </c>
      <c r="J7" s="823" t="s">
        <v>127</v>
      </c>
      <c r="K7" s="824" t="s">
        <v>967</v>
      </c>
    </row>
    <row r="8" spans="1:11" ht="18" thickBot="1" x14ac:dyDescent="0.35">
      <c r="B8" s="837" t="s">
        <v>1002</v>
      </c>
      <c r="C8" s="838"/>
      <c r="D8" s="839"/>
      <c r="E8" s="2210">
        <v>0</v>
      </c>
      <c r="F8" s="2211"/>
      <c r="G8" s="840" t="s">
        <v>863</v>
      </c>
      <c r="H8" s="840"/>
      <c r="I8" s="841"/>
      <c r="J8" s="842"/>
      <c r="K8" s="1229">
        <v>0</v>
      </c>
    </row>
    <row r="9" spans="1:11" ht="16.2" thickBot="1" x14ac:dyDescent="0.3">
      <c r="B9" s="812" t="s">
        <v>878</v>
      </c>
      <c r="C9" s="813"/>
      <c r="D9" s="813"/>
      <c r="E9" s="813"/>
      <c r="F9" s="813"/>
      <c r="G9" s="813"/>
      <c r="H9" s="813"/>
      <c r="I9" s="813"/>
      <c r="J9" s="813"/>
      <c r="K9" s="814"/>
    </row>
    <row r="10" spans="1:11" ht="16.2" thickBot="1" x14ac:dyDescent="0.35">
      <c r="B10" s="1135" t="s">
        <v>1001</v>
      </c>
      <c r="C10" s="838"/>
      <c r="D10" s="838"/>
      <c r="E10" s="1136"/>
      <c r="F10" s="1250">
        <v>0</v>
      </c>
      <c r="G10" s="1137" t="s">
        <v>862</v>
      </c>
      <c r="H10" s="1138"/>
      <c r="I10" s="838"/>
      <c r="J10" s="1139"/>
      <c r="K10" s="1249">
        <v>0</v>
      </c>
    </row>
    <row r="11" spans="1:11" ht="16.2" thickBot="1" x14ac:dyDescent="0.3">
      <c r="B11" s="288" t="s">
        <v>877</v>
      </c>
      <c r="C11" s="289"/>
      <c r="D11" s="289"/>
      <c r="E11" s="289"/>
      <c r="F11" s="289"/>
      <c r="G11" s="289"/>
      <c r="H11" s="289"/>
      <c r="I11" s="289"/>
      <c r="J11" s="289"/>
      <c r="K11" s="421"/>
    </row>
    <row r="12" spans="1:11" ht="16.2" thickBot="1" x14ac:dyDescent="0.35">
      <c r="B12" s="313" t="s">
        <v>1001</v>
      </c>
      <c r="C12" s="291"/>
      <c r="D12" s="289"/>
      <c r="E12" s="2327">
        <v>0</v>
      </c>
      <c r="F12" s="2328"/>
      <c r="G12" s="279" t="s">
        <v>622</v>
      </c>
      <c r="H12" s="280"/>
      <c r="I12" s="765"/>
      <c r="J12" s="765"/>
      <c r="K12" s="1263">
        <v>0</v>
      </c>
    </row>
    <row r="13" spans="1:11" ht="16.2" thickBot="1" x14ac:dyDescent="0.3">
      <c r="B13" s="288" t="s">
        <v>870</v>
      </c>
      <c r="C13" s="289"/>
      <c r="D13" s="289"/>
      <c r="E13" s="289"/>
      <c r="F13" s="289"/>
      <c r="G13" s="289"/>
      <c r="H13" s="289"/>
      <c r="I13" s="289"/>
      <c r="J13" s="289"/>
      <c r="K13" s="421"/>
    </row>
    <row r="14" spans="1:11" ht="16.2" thickBot="1" x14ac:dyDescent="0.35">
      <c r="B14" s="420" t="s">
        <v>1001</v>
      </c>
      <c r="C14" s="419"/>
      <c r="D14" s="314"/>
      <c r="E14" s="2335">
        <v>0</v>
      </c>
      <c r="F14" s="2336"/>
      <c r="G14" s="267" t="s">
        <v>1003</v>
      </c>
      <c r="H14" s="268"/>
      <c r="I14" s="268"/>
      <c r="J14" s="312"/>
      <c r="K14" s="1263">
        <v>0</v>
      </c>
    </row>
  </sheetData>
  <sheetProtection algorithmName="SHA-512" hashValue="ADUvKq6TZIDmokg5JbJ+BVKXcKZ4SnJkv3Iu590AT8i711glzw7pBv51X1h2jL5PlDE2r2Z64ypZBm1ft9oILQ==" saltValue="qBwj9L+a+kn0KwfQfFuVTg==" spinCount="100000" sheet="1" objects="1" scenarios="1" selectLockedCells="1" selectUnlockedCells="1"/>
  <protectedRanges>
    <protectedRange sqref="Q17 J53 J128:J131 G132 J132 G133 J133:J135 G136 J136:J144 D138:G138 J145:J146 D145:G145" name="Range3"/>
    <protectedRange sqref="Q19" name="Range3_1"/>
    <protectedRange sqref="Q20" name="Range3_2"/>
    <protectedRange sqref="Q21" name="Range3_3"/>
    <protectedRange sqref="H230:I256 H257 B243:F243" name="Range2_27"/>
    <protectedRange sqref="H224:I228" name="Range2_22"/>
    <protectedRange sqref="I154:I158" name="Range3_78"/>
    <protectedRange sqref="G161 I159:I161" name="Range3_79"/>
    <protectedRange sqref="C163:C175 G163:I192 B190:C192" name="Range3_80"/>
    <protectedRange sqref="I195:I197" name="Range2_50"/>
    <protectedRange sqref="I198:I199" name="Range2_51"/>
    <protectedRange sqref="F200:G200 I200" name="Range2_52"/>
    <protectedRange sqref="I201:I205" name="Range2_53"/>
    <protectedRange sqref="I206:I208 F208:G208" name="Range2_54"/>
    <protectedRange sqref="I210:I211" name="Range2_55"/>
    <protectedRange sqref="I212:I213" name="Range2_56"/>
    <protectedRange sqref="F218:G221 I214:I222" name="Range2_57"/>
    <protectedRange sqref="J102:J104 H105 J105 D110 H110:J110 D111 H111:J111 D112 H112:J112 D113 H113:J113 D114 H114:J114 D115 H115:J115 H116:J116 H117:J117 H118:J118 H119:J119 H120:J120 H121:J121 H122:J122 H123:J123 C123:D123 H124:J124 C124:D124" name="Range2"/>
    <protectedRange sqref="J150" name="Range3_66"/>
    <protectedRange sqref="J56" name="Range2_1"/>
    <protectedRange sqref="J57" name="Range2_2"/>
    <protectedRange sqref="J58" name="Range2_3"/>
    <protectedRange sqref="J59" name="Range2_4"/>
    <protectedRange sqref="J60" name="Range2_5"/>
    <protectedRange sqref="J61" name="Range2_6"/>
    <protectedRange sqref="J62" name="Range2_7"/>
    <protectedRange sqref="J63" name="Range2_8"/>
    <protectedRange sqref="J64" name="Range2_9"/>
    <protectedRange sqref="J65" name="Range2_10"/>
    <protectedRange sqref="J66" name="Range2_11"/>
    <protectedRange sqref="J67" name="Range2_12"/>
    <protectedRange sqref="J68" name="Range2_13"/>
    <protectedRange sqref="J69" name="Range2_14"/>
    <protectedRange sqref="J70" name="Range2_15"/>
    <protectedRange sqref="J71" name="Range2_16"/>
    <protectedRange sqref="J72" name="Range2_17"/>
    <protectedRange sqref="J73" name="Range2_18"/>
    <protectedRange sqref="J74" name="Range2_19"/>
    <protectedRange sqref="J75" name="Range2_20"/>
    <protectedRange sqref="J76" name="Range2_21"/>
    <protectedRange sqref="J77" name="Range2_23"/>
    <protectedRange sqref="J78" name="Range2_24"/>
    <protectedRange sqref="J79" name="Range2_25"/>
    <protectedRange sqref="J80" name="Range2_26"/>
    <protectedRange sqref="J81" name="Range2_28"/>
    <protectedRange sqref="J82" name="Range2_29"/>
    <protectedRange sqref="J83" name="Range2_30"/>
    <protectedRange sqref="J84" name="Range2_31"/>
    <protectedRange sqref="J85" name="Range2_32"/>
    <protectedRange sqref="J86" name="Range2_33"/>
    <protectedRange sqref="J87:J89" name="Range2_34"/>
    <protectedRange sqref="J90" name="Range2_35"/>
    <protectedRange sqref="J91" name="Range2_36"/>
    <protectedRange sqref="J95" name="Range2_37"/>
    <protectedRange sqref="J96" name="Range2_38"/>
    <protectedRange sqref="J97" name="Range2_39"/>
    <protectedRange sqref="J98" name="Range2_40"/>
    <protectedRange sqref="J99" name="Range2_41"/>
    <protectedRange sqref="J100" name="Range2_42"/>
    <protectedRange sqref="J101" name="Range2_43"/>
    <protectedRange sqref="J36" name="Range3_17"/>
    <protectedRange sqref="J37:J40" name="Range3_18"/>
    <protectedRange sqref="J41:J49 D46:G48" name="Range3_19"/>
    <protectedRange sqref="J25" name="Range3_6"/>
  </protectedRanges>
  <mergeCells count="13">
    <mergeCell ref="E14:F14"/>
    <mergeCell ref="A1:A1048576"/>
    <mergeCell ref="B3:K3"/>
    <mergeCell ref="B4:C4"/>
    <mergeCell ref="D4:F4"/>
    <mergeCell ref="H4:I4"/>
    <mergeCell ref="J4:K4"/>
    <mergeCell ref="J5:K5"/>
    <mergeCell ref="B5:C5"/>
    <mergeCell ref="D5:F5"/>
    <mergeCell ref="H5:I5"/>
    <mergeCell ref="E8:F8"/>
    <mergeCell ref="E12:F12"/>
  </mergeCells>
  <printOptions horizontalCentered="1"/>
  <pageMargins left="0.44" right="0.5" top="0.75" bottom="0.4" header="0" footer="0"/>
  <pageSetup scale="93" orientation="portrait" r:id="rId1"/>
  <headerFooter>
    <oddHeader>&amp;RPR</oddHeader>
    <oddFooter>&amp;LADEM Form 32 Summary DRAFT&amp;C2/2025&amp;R*M9 DRAFT</oddFooter>
  </headerFooter>
  <rowBreaks count="1" manualBreakCount="1">
    <brk id="54"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Button 1">
              <controlPr defaultSize="0" print="0" autoFill="0" autoPict="0" macro="[0]!fourteen">
                <anchor>
                  <from>
                    <xdr:col>0</xdr:col>
                    <xdr:colOff>198120</xdr:colOff>
                    <xdr:row>15</xdr:row>
                    <xdr:rowOff>45720</xdr:rowOff>
                  </from>
                  <to>
                    <xdr:col>0</xdr:col>
                    <xdr:colOff>762000</xdr:colOff>
                    <xdr:row>20</xdr:row>
                    <xdr:rowOff>144780</xdr:rowOff>
                  </to>
                </anchor>
              </controlPr>
            </control>
          </mc:Choice>
        </mc:AlternateContent>
        <mc:AlternateContent xmlns:mc="http://schemas.openxmlformats.org/markup-compatibility/2006">
          <mc:Choice Requires="x14">
            <control shapeId="49154" r:id="rId5" name="Button 2">
              <controlPr defaultSize="0" print="0" autoFill="0" autoPict="0" macro="[0]!twelve">
                <anchor>
                  <from>
                    <xdr:col>0</xdr:col>
                    <xdr:colOff>182880</xdr:colOff>
                    <xdr:row>11</xdr:row>
                    <xdr:rowOff>121920</xdr:rowOff>
                  </from>
                  <to>
                    <xdr:col>0</xdr:col>
                    <xdr:colOff>769620</xdr:colOff>
                    <xdr:row>14</xdr:row>
                    <xdr:rowOff>60960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tabColor rgb="FFFF7C80"/>
  </sheetPr>
  <dimension ref="A1:V160"/>
  <sheetViews>
    <sheetView showGridLines="0" showRowColHeaders="0" zoomScale="120" zoomScaleNormal="120" workbookViewId="0">
      <pane xSplit="1" ySplit="8" topLeftCell="B9" activePane="bottomRight" state="frozen"/>
      <selection activeCell="E8" sqref="E8:I10"/>
      <selection pane="topRight" activeCell="E8" sqref="E8:I10"/>
      <selection pane="bottomLeft" activeCell="E8" sqref="E8:I10"/>
      <selection pane="bottomRight" activeCell="E8" sqref="E8:I10"/>
    </sheetView>
  </sheetViews>
  <sheetFormatPr defaultColWidth="8.88671875" defaultRowHeight="13.8" x14ac:dyDescent="0.3"/>
  <cols>
    <col min="1" max="1" width="13.6640625" style="304" customWidth="1"/>
    <col min="2" max="2" width="9.5546875" style="104" customWidth="1"/>
    <col min="3" max="3" width="0.109375" style="104" customWidth="1"/>
    <col min="4" max="4" width="0.88671875" style="104" customWidth="1"/>
    <col min="5" max="6" width="11.44140625" style="104" customWidth="1"/>
    <col min="7" max="7" width="16.88671875" style="104" customWidth="1"/>
    <col min="8" max="9" width="9.109375" style="104" customWidth="1"/>
    <col min="10" max="10" width="14.5546875" style="104" customWidth="1"/>
    <col min="11" max="11" width="8.88671875" style="104"/>
    <col min="12" max="12" width="8.88671875" style="431"/>
    <col min="13" max="13" width="8.88671875" style="1762"/>
    <col min="14" max="15" width="8.88671875" style="1763"/>
    <col min="16" max="22" width="8.88671875" style="430"/>
    <col min="23" max="16384" width="8.88671875" style="104"/>
  </cols>
  <sheetData>
    <row r="1" spans="2:18" ht="19.2" customHeight="1" thickBot="1" x14ac:dyDescent="0.35"/>
    <row r="2" spans="2:18" ht="16.2" thickBot="1" x14ac:dyDescent="0.35">
      <c r="B2" s="2433" t="s">
        <v>871</v>
      </c>
      <c r="C2" s="2434"/>
      <c r="D2" s="2434"/>
      <c r="E2" s="2434"/>
      <c r="F2" s="2434"/>
      <c r="G2" s="2434"/>
      <c r="H2" s="2434"/>
      <c r="I2" s="2434"/>
      <c r="J2" s="2434"/>
      <c r="K2" s="2435"/>
      <c r="L2" s="1764"/>
      <c r="M2" s="1765"/>
      <c r="N2" s="1763">
        <f>IF(SUM(K9+K62+K115)=0,0,1)</f>
        <v>0</v>
      </c>
      <c r="R2" s="412" t="s">
        <v>1441</v>
      </c>
    </row>
    <row r="3" spans="2:18" x14ac:dyDescent="0.3">
      <c r="B3" s="2436" t="s">
        <v>896</v>
      </c>
      <c r="C3" s="2437"/>
      <c r="D3" s="2437"/>
      <c r="E3" s="2437"/>
      <c r="F3" s="2437"/>
      <c r="G3" s="2437"/>
      <c r="H3" s="2437"/>
      <c r="I3" s="2437"/>
      <c r="J3" s="2437"/>
      <c r="K3" s="2438"/>
      <c r="N3" s="1763">
        <f>K54+K107+K160</f>
        <v>0</v>
      </c>
      <c r="O3" s="1763">
        <f>K42+K95+K148</f>
        <v>0</v>
      </c>
      <c r="R3" s="430" t="str">
        <f>IF(SUM(K54+K107+K160)=0,"",AVERAGEIF(R44:R159,"&gt;0"))</f>
        <v/>
      </c>
    </row>
    <row r="4" spans="2:18" ht="27.6" customHeight="1" thickBot="1" x14ac:dyDescent="0.35">
      <c r="B4" s="2439" t="s">
        <v>944</v>
      </c>
      <c r="C4" s="2440"/>
      <c r="D4" s="2440"/>
      <c r="E4" s="2440"/>
      <c r="F4" s="2440"/>
      <c r="G4" s="2440"/>
      <c r="H4" s="2440"/>
      <c r="I4" s="2440"/>
      <c r="J4" s="2440"/>
      <c r="K4" s="2441"/>
    </row>
    <row r="5" spans="2:18" ht="5.4" customHeight="1" x14ac:dyDescent="0.3">
      <c r="B5" s="1464"/>
      <c r="C5" s="1465"/>
      <c r="D5" s="1465"/>
      <c r="E5" s="1466"/>
      <c r="F5" s="1467"/>
      <c r="G5" s="1461"/>
      <c r="H5" s="1462"/>
      <c r="I5" s="1462"/>
      <c r="J5" s="1462"/>
      <c r="K5" s="1462"/>
    </row>
    <row r="6" spans="2:18" ht="14.4" x14ac:dyDescent="0.3">
      <c r="B6" s="1439" t="s">
        <v>1267</v>
      </c>
      <c r="C6" s="1440"/>
      <c r="D6" s="1440"/>
      <c r="E6" s="1394"/>
      <c r="F6" s="1459" t="s">
        <v>1270</v>
      </c>
      <c r="G6" s="1382" t="s">
        <v>911</v>
      </c>
      <c r="H6" s="1385" t="s">
        <v>897</v>
      </c>
      <c r="I6" s="1385" t="s">
        <v>897</v>
      </c>
      <c r="J6" s="1385" t="s">
        <v>1289</v>
      </c>
      <c r="K6" s="1385" t="s">
        <v>899</v>
      </c>
    </row>
    <row r="7" spans="2:18" ht="14.4" x14ac:dyDescent="0.3">
      <c r="B7" s="1390" t="s">
        <v>619</v>
      </c>
      <c r="C7" s="1391"/>
      <c r="D7" s="1391"/>
      <c r="E7" s="1394"/>
      <c r="F7" s="1459" t="s">
        <v>1271</v>
      </c>
      <c r="G7" s="1382" t="s">
        <v>19</v>
      </c>
      <c r="H7" s="1385" t="s">
        <v>900</v>
      </c>
      <c r="I7" s="1385" t="s">
        <v>901</v>
      </c>
      <c r="J7" s="1385" t="s">
        <v>1290</v>
      </c>
      <c r="K7" s="1385" t="s">
        <v>903</v>
      </c>
    </row>
    <row r="8" spans="2:18" ht="15" thickBot="1" x14ac:dyDescent="0.35">
      <c r="B8" s="1468" t="s">
        <v>905</v>
      </c>
      <c r="C8" s="1469"/>
      <c r="D8" s="1469"/>
      <c r="E8" s="1395" t="s">
        <v>906</v>
      </c>
      <c r="F8" s="1460" t="s">
        <v>904</v>
      </c>
      <c r="G8" s="1461"/>
      <c r="H8" s="1463" t="s">
        <v>907</v>
      </c>
      <c r="I8" s="1463" t="s">
        <v>907</v>
      </c>
      <c r="J8" s="1385" t="s">
        <v>1291</v>
      </c>
      <c r="K8" s="1385" t="s">
        <v>909</v>
      </c>
    </row>
    <row r="9" spans="2:18" ht="12" customHeight="1" thickBot="1" x14ac:dyDescent="0.35">
      <c r="B9" s="793" t="s">
        <v>1446</v>
      </c>
      <c r="C9" s="803"/>
      <c r="D9" s="803"/>
      <c r="E9" s="1510"/>
      <c r="F9" s="1510"/>
      <c r="G9" s="1510"/>
      <c r="H9" s="1510"/>
      <c r="I9" s="1510"/>
      <c r="J9" s="1510"/>
      <c r="K9" s="1561">
        <f>IF(SUM(K21+K30+K42+K54)=0,0,1)</f>
        <v>0</v>
      </c>
      <c r="L9" s="1766"/>
    </row>
    <row r="10" spans="2:18" x14ac:dyDescent="0.3">
      <c r="B10" s="2452"/>
      <c r="C10" s="2432"/>
      <c r="D10" s="2432"/>
      <c r="E10" s="1590"/>
      <c r="F10" s="1448"/>
      <c r="G10" s="1447"/>
      <c r="H10" s="1456"/>
      <c r="I10" s="1456"/>
      <c r="J10" s="1591"/>
      <c r="K10" s="321"/>
      <c r="L10" s="1766">
        <f>IF(K10="",0,1)</f>
        <v>0</v>
      </c>
    </row>
    <row r="11" spans="2:18" x14ac:dyDescent="0.3">
      <c r="B11" s="2420"/>
      <c r="C11" s="2421"/>
      <c r="D11" s="2421"/>
      <c r="E11" s="1454"/>
      <c r="F11" s="1450"/>
      <c r="G11" s="1444"/>
      <c r="H11" s="1458"/>
      <c r="I11" s="1458"/>
      <c r="J11" s="1445"/>
      <c r="K11" s="321"/>
      <c r="L11" s="1766">
        <f t="shared" ref="L11:L71" si="0">IF(K11="",0,1)</f>
        <v>0</v>
      </c>
    </row>
    <row r="12" spans="2:18" x14ac:dyDescent="0.3">
      <c r="B12" s="2420"/>
      <c r="C12" s="2421"/>
      <c r="D12" s="2421"/>
      <c r="E12" s="1454"/>
      <c r="F12" s="1451"/>
      <c r="G12" s="1444"/>
      <c r="H12" s="1458"/>
      <c r="I12" s="1458"/>
      <c r="J12" s="1445"/>
      <c r="K12" s="321"/>
      <c r="L12" s="1766">
        <f t="shared" si="0"/>
        <v>0</v>
      </c>
    </row>
    <row r="13" spans="2:18" x14ac:dyDescent="0.3">
      <c r="B13" s="2420"/>
      <c r="C13" s="2421"/>
      <c r="D13" s="2421"/>
      <c r="E13" s="1455"/>
      <c r="F13" s="1450"/>
      <c r="G13" s="1444"/>
      <c r="H13" s="1458"/>
      <c r="I13" s="1458"/>
      <c r="J13" s="1445"/>
      <c r="K13" s="321"/>
      <c r="L13" s="1766">
        <f t="shared" si="0"/>
        <v>0</v>
      </c>
    </row>
    <row r="14" spans="2:18" x14ac:dyDescent="0.3">
      <c r="B14" s="2420"/>
      <c r="C14" s="2421"/>
      <c r="D14" s="2421"/>
      <c r="E14" s="1454"/>
      <c r="F14" s="1450"/>
      <c r="G14" s="1444"/>
      <c r="H14" s="1458"/>
      <c r="I14" s="1458"/>
      <c r="J14" s="1445"/>
      <c r="K14" s="321"/>
      <c r="L14" s="1766">
        <f t="shared" si="0"/>
        <v>0</v>
      </c>
    </row>
    <row r="15" spans="2:18" x14ac:dyDescent="0.3">
      <c r="B15" s="2420"/>
      <c r="C15" s="2421"/>
      <c r="D15" s="2421"/>
      <c r="E15" s="1454"/>
      <c r="F15" s="1450"/>
      <c r="G15" s="1444"/>
      <c r="H15" s="1458"/>
      <c r="I15" s="1458"/>
      <c r="J15" s="1445"/>
      <c r="K15" s="321"/>
      <c r="L15" s="1766">
        <f t="shared" si="0"/>
        <v>0</v>
      </c>
    </row>
    <row r="16" spans="2:18" x14ac:dyDescent="0.3">
      <c r="B16" s="2420"/>
      <c r="C16" s="2421"/>
      <c r="D16" s="2421"/>
      <c r="E16" s="1454"/>
      <c r="F16" s="1450"/>
      <c r="G16" s="1444"/>
      <c r="H16" s="1458"/>
      <c r="I16" s="1458"/>
      <c r="J16" s="1445"/>
      <c r="K16" s="321"/>
      <c r="L16" s="1766">
        <f t="shared" si="0"/>
        <v>0</v>
      </c>
    </row>
    <row r="17" spans="2:13" x14ac:dyDescent="0.3">
      <c r="B17" s="2420"/>
      <c r="C17" s="2421"/>
      <c r="D17" s="2421"/>
      <c r="E17" s="1454"/>
      <c r="F17" s="1450"/>
      <c r="G17" s="1444"/>
      <c r="H17" s="1458"/>
      <c r="I17" s="1458"/>
      <c r="J17" s="1445"/>
      <c r="K17" s="321"/>
      <c r="L17" s="1766">
        <f t="shared" si="0"/>
        <v>0</v>
      </c>
    </row>
    <row r="18" spans="2:13" x14ac:dyDescent="0.3">
      <c r="B18" s="2420"/>
      <c r="C18" s="2421"/>
      <c r="D18" s="2421"/>
      <c r="E18" s="1454"/>
      <c r="F18" s="1450"/>
      <c r="G18" s="1444"/>
      <c r="H18" s="1458"/>
      <c r="I18" s="1458"/>
      <c r="J18" s="1445"/>
      <c r="K18" s="321"/>
      <c r="L18" s="1766">
        <f t="shared" si="0"/>
        <v>0</v>
      </c>
    </row>
    <row r="19" spans="2:13" x14ac:dyDescent="0.3">
      <c r="B19" s="2420"/>
      <c r="C19" s="2421"/>
      <c r="D19" s="2421"/>
      <c r="E19" s="1454"/>
      <c r="F19" s="1450"/>
      <c r="G19" s="1444"/>
      <c r="H19" s="1458"/>
      <c r="I19" s="1458"/>
      <c r="J19" s="1445"/>
      <c r="K19" s="321"/>
      <c r="L19" s="1766">
        <f t="shared" si="0"/>
        <v>0</v>
      </c>
    </row>
    <row r="20" spans="2:13" ht="14.4" thickBot="1" x14ac:dyDescent="0.35">
      <c r="B20" s="2420"/>
      <c r="C20" s="2421"/>
      <c r="D20" s="2421"/>
      <c r="E20" s="1454"/>
      <c r="F20" s="1450"/>
      <c r="G20" s="1444"/>
      <c r="H20" s="1457"/>
      <c r="I20" s="1457"/>
      <c r="J20" s="1417"/>
      <c r="K20" s="321"/>
      <c r="L20" s="1766">
        <f t="shared" si="0"/>
        <v>0</v>
      </c>
    </row>
    <row r="21" spans="2:13" ht="13.95" customHeight="1" thickBot="1" x14ac:dyDescent="0.35">
      <c r="B21" s="2422"/>
      <c r="C21" s="2423"/>
      <c r="D21" s="2423"/>
      <c r="E21" s="320"/>
      <c r="F21" s="138"/>
      <c r="G21" s="320"/>
      <c r="H21" s="316" t="s">
        <v>1439</v>
      </c>
      <c r="I21" s="314"/>
      <c r="J21" s="314"/>
      <c r="K21" s="317">
        <f>SUM(L10:L20)</f>
        <v>0</v>
      </c>
      <c r="L21" s="1766"/>
    </row>
    <row r="22" spans="2:13" ht="13.95" customHeight="1" thickBot="1" x14ac:dyDescent="0.35">
      <c r="B22" s="793" t="s">
        <v>1445</v>
      </c>
      <c r="C22" s="803"/>
      <c r="D22" s="803"/>
      <c r="E22" s="1510"/>
      <c r="F22" s="1510"/>
      <c r="G22" s="1510"/>
      <c r="H22" s="1510"/>
      <c r="I22" s="1510"/>
      <c r="J22" s="1510"/>
      <c r="K22" s="1511"/>
      <c r="L22" s="1766"/>
    </row>
    <row r="23" spans="2:13" x14ac:dyDescent="0.3">
      <c r="B23" s="2424"/>
      <c r="C23" s="2425"/>
      <c r="D23" s="2425"/>
      <c r="E23" s="1452"/>
      <c r="F23" s="1448"/>
      <c r="G23" s="1441"/>
      <c r="H23" s="1456"/>
      <c r="I23" s="1456"/>
      <c r="J23" s="1442"/>
      <c r="K23" s="321"/>
      <c r="L23" s="1766">
        <f t="shared" si="0"/>
        <v>0</v>
      </c>
    </row>
    <row r="24" spans="2:13" x14ac:dyDescent="0.3">
      <c r="B24" s="2420"/>
      <c r="C24" s="2421"/>
      <c r="D24" s="2421"/>
      <c r="E24" s="1454"/>
      <c r="F24" s="1450"/>
      <c r="G24" s="1444"/>
      <c r="H24" s="1458"/>
      <c r="I24" s="1458"/>
      <c r="J24" s="1445"/>
      <c r="K24" s="321"/>
      <c r="L24" s="1766">
        <f t="shared" si="0"/>
        <v>0</v>
      </c>
    </row>
    <row r="25" spans="2:13" x14ac:dyDescent="0.3">
      <c r="B25" s="2420"/>
      <c r="C25" s="2421"/>
      <c r="D25" s="2421"/>
      <c r="E25" s="1454"/>
      <c r="F25" s="1450"/>
      <c r="G25" s="1444"/>
      <c r="H25" s="1458"/>
      <c r="I25" s="1458"/>
      <c r="J25" s="1445"/>
      <c r="K25" s="321"/>
      <c r="L25" s="1766">
        <f t="shared" si="0"/>
        <v>0</v>
      </c>
    </row>
    <row r="26" spans="2:13" x14ac:dyDescent="0.3">
      <c r="B26" s="2420"/>
      <c r="C26" s="2421"/>
      <c r="D26" s="2421"/>
      <c r="E26" s="1454"/>
      <c r="F26" s="1450"/>
      <c r="G26" s="1444"/>
      <c r="H26" s="1458"/>
      <c r="I26" s="1458"/>
      <c r="J26" s="1445"/>
      <c r="K26" s="321"/>
      <c r="L26" s="1766">
        <f t="shared" si="0"/>
        <v>0</v>
      </c>
    </row>
    <row r="27" spans="2:13" x14ac:dyDescent="0.3">
      <c r="B27" s="2420"/>
      <c r="C27" s="2421"/>
      <c r="D27" s="2421"/>
      <c r="E27" s="1454"/>
      <c r="F27" s="1450"/>
      <c r="G27" s="1444"/>
      <c r="H27" s="1458"/>
      <c r="I27" s="1458"/>
      <c r="J27" s="1445"/>
      <c r="K27" s="321"/>
      <c r="L27" s="1766">
        <f t="shared" si="0"/>
        <v>0</v>
      </c>
    </row>
    <row r="28" spans="2:13" x14ac:dyDescent="0.3">
      <c r="B28" s="2420"/>
      <c r="C28" s="2421"/>
      <c r="D28" s="2421"/>
      <c r="E28" s="1454"/>
      <c r="F28" s="1450"/>
      <c r="G28" s="1444"/>
      <c r="H28" s="1458"/>
      <c r="I28" s="1458"/>
      <c r="J28" s="1445"/>
      <c r="K28" s="321"/>
      <c r="L28" s="1766">
        <f t="shared" si="0"/>
        <v>0</v>
      </c>
    </row>
    <row r="29" spans="2:13" ht="14.4" thickBot="1" x14ac:dyDescent="0.35">
      <c r="B29" s="2420"/>
      <c r="C29" s="2421"/>
      <c r="D29" s="2421"/>
      <c r="E29" s="1454"/>
      <c r="F29" s="1450"/>
      <c r="G29" s="1444"/>
      <c r="H29" s="1457"/>
      <c r="I29" s="1457"/>
      <c r="J29" s="1417"/>
      <c r="K29" s="321"/>
      <c r="L29" s="1766">
        <f t="shared" si="0"/>
        <v>0</v>
      </c>
    </row>
    <row r="30" spans="2:13" ht="14.4" thickBot="1" x14ac:dyDescent="0.35">
      <c r="B30" s="2426"/>
      <c r="C30" s="2427"/>
      <c r="D30" s="2427"/>
      <c r="E30" s="320"/>
      <c r="F30" s="323"/>
      <c r="G30" s="309"/>
      <c r="H30" s="316" t="s">
        <v>1438</v>
      </c>
      <c r="I30" s="314"/>
      <c r="J30" s="314"/>
      <c r="K30" s="317">
        <f>SUM(L23:L29)</f>
        <v>0</v>
      </c>
      <c r="L30" s="1766"/>
    </row>
    <row r="31" spans="2:13" ht="14.4" thickBot="1" x14ac:dyDescent="0.35">
      <c r="B31" s="793" t="s">
        <v>1444</v>
      </c>
      <c r="C31" s="803"/>
      <c r="D31" s="803"/>
      <c r="E31" s="1510"/>
      <c r="F31" s="1510"/>
      <c r="G31" s="1510"/>
      <c r="H31" s="1510"/>
      <c r="I31" s="1510"/>
      <c r="J31" s="1510"/>
      <c r="K31" s="1511"/>
      <c r="L31" s="1766"/>
    </row>
    <row r="32" spans="2:13" x14ac:dyDescent="0.3">
      <c r="B32" s="2424"/>
      <c r="C32" s="2425"/>
      <c r="D32" s="2425"/>
      <c r="E32" s="1452"/>
      <c r="F32" s="1448"/>
      <c r="G32" s="1441"/>
      <c r="H32" s="1456"/>
      <c r="I32" s="1456"/>
      <c r="J32" s="1442"/>
      <c r="K32" s="321"/>
      <c r="L32" s="1766">
        <f t="shared" si="0"/>
        <v>0</v>
      </c>
      <c r="M32" s="430"/>
    </row>
    <row r="33" spans="1:18" x14ac:dyDescent="0.3">
      <c r="B33" s="2420"/>
      <c r="C33" s="2421"/>
      <c r="D33" s="2421"/>
      <c r="E33" s="1454"/>
      <c r="F33" s="1450"/>
      <c r="G33" s="1444"/>
      <c r="H33" s="1458"/>
      <c r="I33" s="1458"/>
      <c r="J33" s="1445"/>
      <c r="K33" s="322"/>
      <c r="L33" s="1766">
        <f t="shared" si="0"/>
        <v>0</v>
      </c>
    </row>
    <row r="34" spans="1:18" x14ac:dyDescent="0.3">
      <c r="B34" s="2420"/>
      <c r="C34" s="2421"/>
      <c r="D34" s="2421"/>
      <c r="E34" s="1454"/>
      <c r="F34" s="1450"/>
      <c r="G34" s="1444"/>
      <c r="H34" s="1458"/>
      <c r="I34" s="1458"/>
      <c r="J34" s="1445"/>
      <c r="K34" s="322"/>
      <c r="L34" s="1766">
        <f t="shared" si="0"/>
        <v>0</v>
      </c>
    </row>
    <row r="35" spans="1:18" x14ac:dyDescent="0.3">
      <c r="B35" s="2428"/>
      <c r="C35" s="2429"/>
      <c r="D35" s="2430"/>
      <c r="E35" s="1454"/>
      <c r="F35" s="1450"/>
      <c r="G35" s="1444"/>
      <c r="H35" s="1458"/>
      <c r="I35" s="1458"/>
      <c r="J35" s="1445"/>
      <c r="K35" s="322"/>
      <c r="L35" s="1766">
        <f t="shared" si="0"/>
        <v>0</v>
      </c>
    </row>
    <row r="36" spans="1:18" x14ac:dyDescent="0.3">
      <c r="B36" s="2428"/>
      <c r="C36" s="2429"/>
      <c r="D36" s="2430"/>
      <c r="E36" s="1454"/>
      <c r="F36" s="1450"/>
      <c r="G36" s="1444"/>
      <c r="H36" s="1458"/>
      <c r="I36" s="1458"/>
      <c r="J36" s="1445"/>
      <c r="K36" s="322"/>
      <c r="L36" s="1766">
        <f t="shared" si="0"/>
        <v>0</v>
      </c>
    </row>
    <row r="37" spans="1:18" x14ac:dyDescent="0.3">
      <c r="B37" s="2428"/>
      <c r="C37" s="2429"/>
      <c r="D37" s="2430"/>
      <c r="E37" s="1454"/>
      <c r="F37" s="1450"/>
      <c r="G37" s="1444"/>
      <c r="H37" s="1458"/>
      <c r="I37" s="1458"/>
      <c r="J37" s="1445"/>
      <c r="K37" s="322"/>
      <c r="L37" s="1766">
        <f t="shared" si="0"/>
        <v>0</v>
      </c>
    </row>
    <row r="38" spans="1:18" x14ac:dyDescent="0.3">
      <c r="B38" s="2420"/>
      <c r="C38" s="2421"/>
      <c r="D38" s="2421"/>
      <c r="E38" s="1454"/>
      <c r="F38" s="1450"/>
      <c r="G38" s="1444"/>
      <c r="H38" s="1458"/>
      <c r="I38" s="1458"/>
      <c r="J38" s="1445"/>
      <c r="K38" s="322"/>
      <c r="L38" s="1766">
        <f t="shared" si="0"/>
        <v>0</v>
      </c>
    </row>
    <row r="39" spans="1:18" x14ac:dyDescent="0.3">
      <c r="B39" s="2428"/>
      <c r="C39" s="2429"/>
      <c r="D39" s="2430"/>
      <c r="E39" s="1454"/>
      <c r="F39" s="1450"/>
      <c r="G39" s="1444"/>
      <c r="H39" s="1458"/>
      <c r="I39" s="1458"/>
      <c r="J39" s="1445"/>
      <c r="K39" s="322"/>
      <c r="L39" s="1766">
        <f t="shared" si="0"/>
        <v>0</v>
      </c>
    </row>
    <row r="40" spans="1:18" x14ac:dyDescent="0.3">
      <c r="B40" s="2420"/>
      <c r="C40" s="2421"/>
      <c r="D40" s="2421"/>
      <c r="E40" s="1454"/>
      <c r="F40" s="1450"/>
      <c r="G40" s="1444"/>
      <c r="H40" s="1458"/>
      <c r="I40" s="1458"/>
      <c r="J40" s="1445"/>
      <c r="K40" s="322"/>
      <c r="L40" s="1766">
        <f t="shared" si="0"/>
        <v>0</v>
      </c>
      <c r="N40" s="1762"/>
    </row>
    <row r="41" spans="1:18" ht="14.4" thickBot="1" x14ac:dyDescent="0.35">
      <c r="B41" s="2420"/>
      <c r="C41" s="2421"/>
      <c r="D41" s="2421"/>
      <c r="E41" s="1454"/>
      <c r="F41" s="1450"/>
      <c r="G41" s="1444"/>
      <c r="H41" s="1457"/>
      <c r="I41" s="1457"/>
      <c r="J41" s="1417"/>
      <c r="K41" s="322"/>
      <c r="L41" s="1766">
        <f t="shared" si="0"/>
        <v>0</v>
      </c>
    </row>
    <row r="42" spans="1:18" ht="14.4" thickBot="1" x14ac:dyDescent="0.35">
      <c r="B42" s="2422"/>
      <c r="C42" s="2423"/>
      <c r="D42" s="2423"/>
      <c r="E42" s="320"/>
      <c r="F42" s="320"/>
      <c r="G42" s="850">
        <f>IF(SUM(K21+K30+K42)=0,0,1)</f>
        <v>0</v>
      </c>
      <c r="H42" s="316" t="s">
        <v>1434</v>
      </c>
      <c r="I42" s="314"/>
      <c r="J42" s="314"/>
      <c r="K42" s="317">
        <f>SUM(L32:L41)</f>
        <v>0</v>
      </c>
      <c r="L42" s="1766"/>
    </row>
    <row r="43" spans="1:18" ht="14.4" thickBot="1" x14ac:dyDescent="0.35">
      <c r="B43" s="1721" t="s">
        <v>1443</v>
      </c>
      <c r="C43" s="1722"/>
      <c r="D43" s="1722"/>
      <c r="E43" s="1723"/>
      <c r="F43" s="1723"/>
      <c r="G43" s="1723"/>
      <c r="H43" s="1723"/>
      <c r="I43" s="1723"/>
      <c r="J43" s="1723"/>
      <c r="K43" s="1724"/>
      <c r="L43" s="1766"/>
    </row>
    <row r="44" spans="1:18" x14ac:dyDescent="0.3">
      <c r="A44" s="1397"/>
      <c r="B44" s="2431"/>
      <c r="C44" s="2432"/>
      <c r="D44" s="2432"/>
      <c r="E44" s="1727"/>
      <c r="F44" s="1728"/>
      <c r="G44" s="1729"/>
      <c r="H44" s="1730"/>
      <c r="I44" s="1730"/>
      <c r="J44" s="1731"/>
      <c r="K44" s="1732"/>
      <c r="L44" s="1766">
        <f t="shared" si="0"/>
        <v>0</v>
      </c>
      <c r="R44" s="430" t="str">
        <f>IF(K44="","",K44)</f>
        <v/>
      </c>
    </row>
    <row r="45" spans="1:18" x14ac:dyDescent="0.3">
      <c r="A45" s="1397"/>
      <c r="B45" s="2424"/>
      <c r="C45" s="2425"/>
      <c r="D45" s="2425"/>
      <c r="E45" s="1452"/>
      <c r="F45" s="1448"/>
      <c r="G45" s="1441"/>
      <c r="H45" s="1456"/>
      <c r="I45" s="1456"/>
      <c r="J45" s="1442"/>
      <c r="K45" s="321"/>
      <c r="L45" s="1766">
        <f t="shared" si="0"/>
        <v>0</v>
      </c>
      <c r="R45" s="430" t="str">
        <f t="shared" ref="R45:R106" si="1">IF(K45="","",K45)</f>
        <v/>
      </c>
    </row>
    <row r="46" spans="1:18" x14ac:dyDescent="0.3">
      <c r="A46" s="1397"/>
      <c r="B46" s="2424"/>
      <c r="C46" s="2425"/>
      <c r="D46" s="2425"/>
      <c r="E46" s="1452"/>
      <c r="F46" s="1448"/>
      <c r="G46" s="1441"/>
      <c r="H46" s="1456"/>
      <c r="I46" s="1456"/>
      <c r="J46" s="1442"/>
      <c r="K46" s="321"/>
      <c r="L46" s="1766">
        <f t="shared" si="0"/>
        <v>0</v>
      </c>
      <c r="R46" s="430" t="str">
        <f t="shared" si="1"/>
        <v/>
      </c>
    </row>
    <row r="47" spans="1:18" x14ac:dyDescent="0.3">
      <c r="A47" s="1397"/>
      <c r="B47" s="2424"/>
      <c r="C47" s="2425"/>
      <c r="D47" s="2425"/>
      <c r="E47" s="1452"/>
      <c r="F47" s="1448"/>
      <c r="G47" s="1441"/>
      <c r="H47" s="1456"/>
      <c r="I47" s="1456"/>
      <c r="J47" s="1442"/>
      <c r="K47" s="321"/>
      <c r="L47" s="1766">
        <f t="shared" si="0"/>
        <v>0</v>
      </c>
      <c r="R47" s="430" t="str">
        <f t="shared" si="1"/>
        <v/>
      </c>
    </row>
    <row r="48" spans="1:18" x14ac:dyDescent="0.3">
      <c r="A48" s="1397"/>
      <c r="B48" s="2424"/>
      <c r="C48" s="2425"/>
      <c r="D48" s="2425"/>
      <c r="E48" s="1452"/>
      <c r="F48" s="1448"/>
      <c r="G48" s="1441"/>
      <c r="H48" s="1456"/>
      <c r="I48" s="1456"/>
      <c r="J48" s="1442"/>
      <c r="K48" s="321"/>
      <c r="L48" s="1766">
        <f t="shared" si="0"/>
        <v>0</v>
      </c>
      <c r="R48" s="430" t="str">
        <f t="shared" si="1"/>
        <v/>
      </c>
    </row>
    <row r="49" spans="1:18" x14ac:dyDescent="0.3">
      <c r="A49" s="1397"/>
      <c r="B49" s="2424"/>
      <c r="C49" s="2425"/>
      <c r="D49" s="2425"/>
      <c r="E49" s="1452"/>
      <c r="F49" s="1448"/>
      <c r="G49" s="1441"/>
      <c r="H49" s="1456"/>
      <c r="I49" s="1456"/>
      <c r="J49" s="1442"/>
      <c r="K49" s="321"/>
      <c r="L49" s="1766">
        <f t="shared" si="0"/>
        <v>0</v>
      </c>
      <c r="R49" s="430" t="str">
        <f t="shared" si="1"/>
        <v/>
      </c>
    </row>
    <row r="50" spans="1:18" ht="13.2" x14ac:dyDescent="0.25">
      <c r="A50" s="1397"/>
      <c r="B50" s="2424"/>
      <c r="C50" s="2425"/>
      <c r="D50" s="2425"/>
      <c r="E50" s="1452"/>
      <c r="F50" s="1448"/>
      <c r="G50" s="1441"/>
      <c r="H50" s="1456"/>
      <c r="I50" s="1456"/>
      <c r="J50" s="1442"/>
      <c r="K50" s="321"/>
      <c r="L50" s="1766">
        <f t="shared" si="0"/>
        <v>0</v>
      </c>
      <c r="M50" s="1767"/>
      <c r="N50" s="1767"/>
      <c r="O50" s="1767"/>
      <c r="P50" s="1767"/>
      <c r="R50" s="430" t="str">
        <f t="shared" si="1"/>
        <v/>
      </c>
    </row>
    <row r="51" spans="1:18" x14ac:dyDescent="0.3">
      <c r="A51" s="1397"/>
      <c r="B51" s="2424"/>
      <c r="C51" s="2425"/>
      <c r="D51" s="2425"/>
      <c r="E51" s="1452"/>
      <c r="F51" s="1448"/>
      <c r="G51" s="1441"/>
      <c r="H51" s="1456"/>
      <c r="I51" s="1456"/>
      <c r="J51" s="1442"/>
      <c r="K51" s="321"/>
      <c r="L51" s="1766">
        <f t="shared" si="0"/>
        <v>0</v>
      </c>
      <c r="R51" s="430" t="str">
        <f t="shared" si="1"/>
        <v/>
      </c>
    </row>
    <row r="52" spans="1:18" x14ac:dyDescent="0.3">
      <c r="A52" s="1397"/>
      <c r="B52" s="2424"/>
      <c r="C52" s="2425"/>
      <c r="D52" s="2425"/>
      <c r="E52" s="1452"/>
      <c r="F52" s="1448"/>
      <c r="G52" s="1441"/>
      <c r="H52" s="1456"/>
      <c r="I52" s="1456"/>
      <c r="J52" s="1442"/>
      <c r="K52" s="321"/>
      <c r="L52" s="1766">
        <f t="shared" si="0"/>
        <v>0</v>
      </c>
      <c r="R52" s="430" t="str">
        <f t="shared" si="1"/>
        <v/>
      </c>
    </row>
    <row r="53" spans="1:18" ht="14.4" thickBot="1" x14ac:dyDescent="0.35">
      <c r="A53" s="1397"/>
      <c r="B53" s="2447"/>
      <c r="C53" s="2448"/>
      <c r="D53" s="2448"/>
      <c r="E53" s="1733"/>
      <c r="F53" s="1734"/>
      <c r="G53" s="1735"/>
      <c r="H53" s="1736"/>
      <c r="I53" s="1736"/>
      <c r="J53" s="1737"/>
      <c r="K53" s="1738"/>
      <c r="L53" s="1766">
        <f t="shared" si="0"/>
        <v>0</v>
      </c>
      <c r="R53" s="430" t="str">
        <f t="shared" si="1"/>
        <v/>
      </c>
    </row>
    <row r="54" spans="1:18" ht="14.4" thickBot="1" x14ac:dyDescent="0.35">
      <c r="B54" s="2445"/>
      <c r="C54" s="2446"/>
      <c r="D54" s="2446"/>
      <c r="E54" s="141"/>
      <c r="F54" s="141"/>
      <c r="G54" s="1725">
        <f>IF(SUM(K33+K42+K54)=0,0,1)</f>
        <v>0</v>
      </c>
      <c r="H54" s="1726" t="s">
        <v>1436</v>
      </c>
      <c r="I54" s="1719"/>
      <c r="J54" s="1719"/>
      <c r="K54" s="1596">
        <f>SUM(L44:L53)</f>
        <v>0</v>
      </c>
      <c r="L54" s="1766"/>
    </row>
    <row r="55" spans="1:18" ht="16.2" thickBot="1" x14ac:dyDescent="0.35">
      <c r="B55" s="2433" t="s">
        <v>957</v>
      </c>
      <c r="C55" s="2434"/>
      <c r="D55" s="2434"/>
      <c r="E55" s="2434"/>
      <c r="F55" s="2434"/>
      <c r="G55" s="2434"/>
      <c r="H55" s="2434"/>
      <c r="I55" s="2434"/>
      <c r="J55" s="2434"/>
      <c r="K55" s="2435"/>
      <c r="L55" s="1766"/>
    </row>
    <row r="56" spans="1:18" x14ac:dyDescent="0.3">
      <c r="B56" s="2436" t="s">
        <v>896</v>
      </c>
      <c r="C56" s="2437"/>
      <c r="D56" s="2437"/>
      <c r="E56" s="2437"/>
      <c r="F56" s="2437"/>
      <c r="G56" s="2437"/>
      <c r="H56" s="2437"/>
      <c r="I56" s="2437"/>
      <c r="J56" s="2437"/>
      <c r="K56" s="2438"/>
      <c r="L56" s="1766"/>
    </row>
    <row r="57" spans="1:18" ht="13.5" customHeight="1" thickBot="1" x14ac:dyDescent="0.35">
      <c r="B57" s="2439" t="s">
        <v>944</v>
      </c>
      <c r="C57" s="2453"/>
      <c r="D57" s="2453"/>
      <c r="E57" s="2453"/>
      <c r="F57" s="2453"/>
      <c r="G57" s="2453"/>
      <c r="H57" s="2453"/>
      <c r="I57" s="2453"/>
      <c r="J57" s="2453"/>
      <c r="K57" s="2454"/>
      <c r="L57" s="1766"/>
    </row>
    <row r="58" spans="1:18" x14ac:dyDescent="0.3">
      <c r="B58" s="432"/>
      <c r="C58" s="337"/>
      <c r="D58" s="337"/>
      <c r="E58" s="1424"/>
      <c r="F58" s="305"/>
      <c r="G58" s="1461"/>
      <c r="H58" s="1462"/>
      <c r="I58" s="306"/>
      <c r="J58" s="306"/>
      <c r="K58" s="306"/>
      <c r="L58" s="1766"/>
    </row>
    <row r="59" spans="1:18" ht="14.4" x14ac:dyDescent="0.3">
      <c r="B59" s="1716" t="s">
        <v>1267</v>
      </c>
      <c r="C59" s="325"/>
      <c r="D59" s="325"/>
      <c r="E59" s="1401"/>
      <c r="F59" s="1459" t="s">
        <v>1270</v>
      </c>
      <c r="G59" s="1382" t="s">
        <v>911</v>
      </c>
      <c r="H59" s="1385" t="s">
        <v>897</v>
      </c>
      <c r="I59" s="1385" t="s">
        <v>897</v>
      </c>
      <c r="J59" s="1385" t="s">
        <v>898</v>
      </c>
      <c r="K59" s="1385" t="s">
        <v>899</v>
      </c>
      <c r="L59" s="1766"/>
    </row>
    <row r="60" spans="1:18" ht="14.4" x14ac:dyDescent="0.3">
      <c r="B60" s="324" t="s">
        <v>619</v>
      </c>
      <c r="C60" s="1739"/>
      <c r="D60" s="1739"/>
      <c r="E60" s="1401"/>
      <c r="F60" s="1459" t="s">
        <v>1272</v>
      </c>
      <c r="G60" s="1382" t="s">
        <v>19</v>
      </c>
      <c r="H60" s="1385" t="s">
        <v>900</v>
      </c>
      <c r="I60" s="1385" t="s">
        <v>901</v>
      </c>
      <c r="J60" s="1385" t="s">
        <v>902</v>
      </c>
      <c r="K60" s="1385" t="s">
        <v>903</v>
      </c>
      <c r="L60" s="1766"/>
    </row>
    <row r="61" spans="1:18" ht="15" thickBot="1" x14ac:dyDescent="0.35">
      <c r="B61" s="1428" t="s">
        <v>905</v>
      </c>
      <c r="C61" s="1429"/>
      <c r="D61" s="1429"/>
      <c r="E61" s="1426" t="s">
        <v>906</v>
      </c>
      <c r="F61" s="1460" t="s">
        <v>904</v>
      </c>
      <c r="G61" s="1461"/>
      <c r="H61" s="1463" t="s">
        <v>907</v>
      </c>
      <c r="I61" s="1463" t="s">
        <v>907</v>
      </c>
      <c r="J61" s="1385" t="s">
        <v>908</v>
      </c>
      <c r="K61" s="1385" t="s">
        <v>909</v>
      </c>
      <c r="L61" s="1766"/>
    </row>
    <row r="62" spans="1:18" ht="14.4" thickBot="1" x14ac:dyDescent="0.35">
      <c r="B62" s="793" t="s">
        <v>1446</v>
      </c>
      <c r="C62" s="794"/>
      <c r="D62" s="794"/>
      <c r="E62" s="794"/>
      <c r="F62" s="794"/>
      <c r="G62" s="794"/>
      <c r="H62" s="794"/>
      <c r="I62" s="794"/>
      <c r="J62" s="794"/>
      <c r="K62" s="1778">
        <f>IF(SUM(K74+K83+K95+K107)=0,0,1)</f>
        <v>0</v>
      </c>
      <c r="L62" s="1766"/>
    </row>
    <row r="63" spans="1:18" x14ac:dyDescent="0.3">
      <c r="B63" s="2442"/>
      <c r="C63" s="2443"/>
      <c r="D63" s="2444"/>
      <c r="E63" s="1452"/>
      <c r="F63" s="1448"/>
      <c r="G63" s="1441"/>
      <c r="H63" s="1456"/>
      <c r="I63" s="1456"/>
      <c r="J63" s="1442"/>
      <c r="K63" s="321"/>
      <c r="L63" s="1766">
        <f t="shared" si="0"/>
        <v>0</v>
      </c>
    </row>
    <row r="64" spans="1:18" x14ac:dyDescent="0.3">
      <c r="B64" s="2449"/>
      <c r="C64" s="2450"/>
      <c r="D64" s="2451"/>
      <c r="E64" s="1452"/>
      <c r="F64" s="1448"/>
      <c r="G64" s="1441"/>
      <c r="H64" s="1456"/>
      <c r="I64" s="1456"/>
      <c r="J64" s="1442"/>
      <c r="K64" s="321"/>
      <c r="L64" s="1766">
        <f t="shared" si="0"/>
        <v>0</v>
      </c>
    </row>
    <row r="65" spans="2:12" x14ac:dyDescent="0.3">
      <c r="B65" s="2449"/>
      <c r="C65" s="2450"/>
      <c r="D65" s="2451"/>
      <c r="E65" s="1453"/>
      <c r="F65" s="1449"/>
      <c r="G65" s="1443"/>
      <c r="H65" s="1457"/>
      <c r="I65" s="1457"/>
      <c r="J65" s="1417"/>
      <c r="K65" s="321"/>
      <c r="L65" s="1766">
        <f t="shared" si="0"/>
        <v>0</v>
      </c>
    </row>
    <row r="66" spans="2:12" x14ac:dyDescent="0.3">
      <c r="B66" s="2449"/>
      <c r="C66" s="2450"/>
      <c r="D66" s="2451"/>
      <c r="E66" s="1455"/>
      <c r="F66" s="1450"/>
      <c r="G66" s="1444"/>
      <c r="H66" s="1458"/>
      <c r="I66" s="1458"/>
      <c r="J66" s="1445"/>
      <c r="K66" s="321"/>
      <c r="L66" s="1766">
        <f t="shared" si="0"/>
        <v>0</v>
      </c>
    </row>
    <row r="67" spans="2:12" x14ac:dyDescent="0.3">
      <c r="B67" s="2449"/>
      <c r="C67" s="2450"/>
      <c r="D67" s="2451"/>
      <c r="E67" s="1454"/>
      <c r="F67" s="1450"/>
      <c r="G67" s="1444"/>
      <c r="H67" s="1458"/>
      <c r="I67" s="1458"/>
      <c r="J67" s="1445"/>
      <c r="K67" s="321"/>
      <c r="L67" s="1766">
        <f t="shared" si="0"/>
        <v>0</v>
      </c>
    </row>
    <row r="68" spans="2:12" x14ac:dyDescent="0.3">
      <c r="B68" s="2449"/>
      <c r="C68" s="2450"/>
      <c r="D68" s="2451"/>
      <c r="E68" s="1454"/>
      <c r="F68" s="1450"/>
      <c r="G68" s="1444"/>
      <c r="H68" s="1458"/>
      <c r="I68" s="1458"/>
      <c r="J68" s="1445"/>
      <c r="K68" s="321"/>
      <c r="L68" s="1766">
        <f t="shared" si="0"/>
        <v>0</v>
      </c>
    </row>
    <row r="69" spans="2:12" x14ac:dyDescent="0.3">
      <c r="B69" s="2449"/>
      <c r="C69" s="2450"/>
      <c r="D69" s="2451"/>
      <c r="E69" s="1454"/>
      <c r="F69" s="1450"/>
      <c r="G69" s="1444"/>
      <c r="H69" s="1458"/>
      <c r="I69" s="1458"/>
      <c r="J69" s="1445"/>
      <c r="K69" s="321"/>
      <c r="L69" s="1766">
        <f t="shared" si="0"/>
        <v>0</v>
      </c>
    </row>
    <row r="70" spans="2:12" x14ac:dyDescent="0.3">
      <c r="B70" s="2449"/>
      <c r="C70" s="2450"/>
      <c r="D70" s="2451"/>
      <c r="E70" s="1454"/>
      <c r="F70" s="1450"/>
      <c r="G70" s="1444"/>
      <c r="H70" s="1458"/>
      <c r="I70" s="1458"/>
      <c r="J70" s="1445"/>
      <c r="K70" s="321"/>
      <c r="L70" s="1766">
        <f t="shared" si="0"/>
        <v>0</v>
      </c>
    </row>
    <row r="71" spans="2:12" x14ac:dyDescent="0.3">
      <c r="B71" s="2449"/>
      <c r="C71" s="2450"/>
      <c r="D71" s="2451"/>
      <c r="E71" s="1454"/>
      <c r="F71" s="1450"/>
      <c r="G71" s="1444"/>
      <c r="H71" s="1458"/>
      <c r="I71" s="1458"/>
      <c r="J71" s="1445"/>
      <c r="K71" s="321"/>
      <c r="L71" s="1766">
        <f t="shared" si="0"/>
        <v>0</v>
      </c>
    </row>
    <row r="72" spans="2:12" x14ac:dyDescent="0.3">
      <c r="B72" s="2449"/>
      <c r="C72" s="2450"/>
      <c r="D72" s="2451"/>
      <c r="E72" s="1454"/>
      <c r="F72" s="1450"/>
      <c r="G72" s="1444"/>
      <c r="H72" s="1458"/>
      <c r="I72" s="1458"/>
      <c r="J72" s="1445"/>
      <c r="K72" s="321"/>
      <c r="L72" s="1766">
        <f t="shared" ref="L72:L132" si="2">IF(K72="",0,1)</f>
        <v>0</v>
      </c>
    </row>
    <row r="73" spans="2:12" ht="14.4" thickBot="1" x14ac:dyDescent="0.35">
      <c r="B73" s="2449"/>
      <c r="C73" s="2450"/>
      <c r="D73" s="2451"/>
      <c r="E73" s="1454"/>
      <c r="F73" s="1450"/>
      <c r="G73" s="1444"/>
      <c r="H73" s="1458"/>
      <c r="I73" s="1457"/>
      <c r="J73" s="1417"/>
      <c r="K73" s="321"/>
      <c r="L73" s="1766">
        <f t="shared" si="2"/>
        <v>0</v>
      </c>
    </row>
    <row r="74" spans="2:12" ht="14.4" thickBot="1" x14ac:dyDescent="0.35">
      <c r="B74" s="2422"/>
      <c r="C74" s="2423"/>
      <c r="D74" s="2423"/>
      <c r="E74" s="320"/>
      <c r="F74" s="138"/>
      <c r="G74" s="320"/>
      <c r="H74" s="316" t="s">
        <v>1437</v>
      </c>
      <c r="I74" s="316"/>
      <c r="J74" s="314"/>
      <c r="K74" s="317">
        <f>SUM(L63:L73)</f>
        <v>0</v>
      </c>
      <c r="L74" s="1766"/>
    </row>
    <row r="75" spans="2:12" ht="14.4" thickBot="1" x14ac:dyDescent="0.35">
      <c r="B75" s="793" t="s">
        <v>1445</v>
      </c>
      <c r="C75" s="794"/>
      <c r="D75" s="794"/>
      <c r="E75" s="794"/>
      <c r="F75" s="794"/>
      <c r="G75" s="794"/>
      <c r="H75" s="794"/>
      <c r="I75" s="794"/>
      <c r="J75" s="794"/>
      <c r="K75" s="795"/>
      <c r="L75" s="1766"/>
    </row>
    <row r="76" spans="2:12" x14ac:dyDescent="0.3">
      <c r="B76" s="2442"/>
      <c r="C76" s="2443"/>
      <c r="D76" s="2444"/>
      <c r="E76" s="1452"/>
      <c r="F76" s="1448"/>
      <c r="G76" s="1441"/>
      <c r="H76" s="1456"/>
      <c r="I76" s="1456"/>
      <c r="J76" s="1442"/>
      <c r="K76" s="321"/>
      <c r="L76" s="1766">
        <f t="shared" si="2"/>
        <v>0</v>
      </c>
    </row>
    <row r="77" spans="2:12" x14ac:dyDescent="0.3">
      <c r="B77" s="2449"/>
      <c r="C77" s="2450"/>
      <c r="D77" s="2451"/>
      <c r="E77" s="1454"/>
      <c r="F77" s="1450"/>
      <c r="G77" s="1444"/>
      <c r="H77" s="1458"/>
      <c r="I77" s="1458"/>
      <c r="J77" s="1445"/>
      <c r="K77" s="321"/>
      <c r="L77" s="1766">
        <f t="shared" si="2"/>
        <v>0</v>
      </c>
    </row>
    <row r="78" spans="2:12" x14ac:dyDescent="0.3">
      <c r="B78" s="2449"/>
      <c r="C78" s="2450"/>
      <c r="D78" s="2451"/>
      <c r="E78" s="1454"/>
      <c r="F78" s="1450"/>
      <c r="G78" s="1444"/>
      <c r="H78" s="1458"/>
      <c r="I78" s="1458"/>
      <c r="J78" s="1445"/>
      <c r="K78" s="321"/>
      <c r="L78" s="1766">
        <f t="shared" si="2"/>
        <v>0</v>
      </c>
    </row>
    <row r="79" spans="2:12" x14ac:dyDescent="0.3">
      <c r="B79" s="2449"/>
      <c r="C79" s="2450"/>
      <c r="D79" s="2451"/>
      <c r="E79" s="1454"/>
      <c r="F79" s="1450"/>
      <c r="G79" s="1444"/>
      <c r="H79" s="1458"/>
      <c r="I79" s="1458"/>
      <c r="J79" s="1445"/>
      <c r="K79" s="321"/>
      <c r="L79" s="1766">
        <f t="shared" si="2"/>
        <v>0</v>
      </c>
    </row>
    <row r="80" spans="2:12" x14ac:dyDescent="0.3">
      <c r="B80" s="2449"/>
      <c r="C80" s="2450"/>
      <c r="D80" s="2451"/>
      <c r="E80" s="1454"/>
      <c r="F80" s="1450"/>
      <c r="G80" s="1444"/>
      <c r="H80" s="1458"/>
      <c r="I80" s="1458"/>
      <c r="J80" s="1445"/>
      <c r="K80" s="321"/>
      <c r="L80" s="1766">
        <f t="shared" si="2"/>
        <v>0</v>
      </c>
    </row>
    <row r="81" spans="2:12" x14ac:dyDescent="0.3">
      <c r="B81" s="2449"/>
      <c r="C81" s="2450"/>
      <c r="D81" s="2451"/>
      <c r="E81" s="1454"/>
      <c r="F81" s="1450"/>
      <c r="G81" s="1444"/>
      <c r="H81" s="1458"/>
      <c r="I81" s="1458"/>
      <c r="J81" s="1445"/>
      <c r="K81" s="321"/>
      <c r="L81" s="1766">
        <f t="shared" si="2"/>
        <v>0</v>
      </c>
    </row>
    <row r="82" spans="2:12" ht="14.4" thickBot="1" x14ac:dyDescent="0.35">
      <c r="B82" s="2449"/>
      <c r="C82" s="2450"/>
      <c r="D82" s="2451"/>
      <c r="E82" s="1454"/>
      <c r="F82" s="1450"/>
      <c r="G82" s="1444"/>
      <c r="H82" s="1457"/>
      <c r="I82" s="1457"/>
      <c r="J82" s="1417"/>
      <c r="K82" s="321"/>
      <c r="L82" s="1766">
        <f t="shared" si="2"/>
        <v>0</v>
      </c>
    </row>
    <row r="83" spans="2:12" ht="14.4" thickBot="1" x14ac:dyDescent="0.35">
      <c r="B83" s="2422"/>
      <c r="C83" s="2423"/>
      <c r="D83" s="2423"/>
      <c r="E83" s="320"/>
      <c r="F83" s="323"/>
      <c r="G83" s="309"/>
      <c r="H83" s="316" t="s">
        <v>1438</v>
      </c>
      <c r="I83" s="314"/>
      <c r="J83" s="314"/>
      <c r="K83" s="317">
        <f>SUM(L76:L82)</f>
        <v>0</v>
      </c>
      <c r="L83" s="1766"/>
    </row>
    <row r="84" spans="2:12" ht="14.4" thickBot="1" x14ac:dyDescent="0.35">
      <c r="B84" s="793" t="s">
        <v>1444</v>
      </c>
      <c r="C84" s="794"/>
      <c r="D84" s="794"/>
      <c r="E84" s="794"/>
      <c r="F84" s="794"/>
      <c r="G84" s="794"/>
      <c r="H84" s="794"/>
      <c r="I84" s="794"/>
      <c r="J84" s="794"/>
      <c r="K84" s="795"/>
      <c r="L84" s="1766"/>
    </row>
    <row r="85" spans="2:12" x14ac:dyDescent="0.3">
      <c r="B85" s="2442"/>
      <c r="C85" s="2443"/>
      <c r="D85" s="2444"/>
      <c r="E85" s="1452"/>
      <c r="F85" s="1448"/>
      <c r="G85" s="1441"/>
      <c r="H85" s="1456"/>
      <c r="I85" s="1456"/>
      <c r="J85" s="1442"/>
      <c r="K85" s="321"/>
      <c r="L85" s="1766">
        <f t="shared" si="2"/>
        <v>0</v>
      </c>
    </row>
    <row r="86" spans="2:12" x14ac:dyDescent="0.3">
      <c r="B86" s="2449"/>
      <c r="C86" s="2450"/>
      <c r="D86" s="2451"/>
      <c r="E86" s="1454"/>
      <c r="F86" s="1450"/>
      <c r="G86" s="1444"/>
      <c r="H86" s="1458"/>
      <c r="I86" s="1458"/>
      <c r="J86" s="1445"/>
      <c r="K86" s="321"/>
      <c r="L86" s="1766">
        <f t="shared" si="2"/>
        <v>0</v>
      </c>
    </row>
    <row r="87" spans="2:12" x14ac:dyDescent="0.3">
      <c r="B87" s="2428"/>
      <c r="C87" s="2429"/>
      <c r="D87" s="2430"/>
      <c r="E87" s="1454"/>
      <c r="F87" s="1450"/>
      <c r="G87" s="1444"/>
      <c r="H87" s="1458"/>
      <c r="I87" s="1458"/>
      <c r="J87" s="1445"/>
      <c r="K87" s="322"/>
      <c r="L87" s="1766">
        <f t="shared" si="2"/>
        <v>0</v>
      </c>
    </row>
    <row r="88" spans="2:12" x14ac:dyDescent="0.3">
      <c r="B88" s="2428"/>
      <c r="C88" s="2429"/>
      <c r="D88" s="2430"/>
      <c r="E88" s="1454"/>
      <c r="F88" s="1450"/>
      <c r="G88" s="1444"/>
      <c r="H88" s="1458"/>
      <c r="I88" s="1458"/>
      <c r="J88" s="1445"/>
      <c r="K88" s="322"/>
      <c r="L88" s="1766">
        <f t="shared" si="2"/>
        <v>0</v>
      </c>
    </row>
    <row r="89" spans="2:12" x14ac:dyDescent="0.3">
      <c r="B89" s="2428"/>
      <c r="C89" s="2429"/>
      <c r="D89" s="2430"/>
      <c r="E89" s="1454"/>
      <c r="F89" s="1450"/>
      <c r="G89" s="1444"/>
      <c r="H89" s="1458"/>
      <c r="I89" s="1458"/>
      <c r="J89" s="1445"/>
      <c r="K89" s="322"/>
      <c r="L89" s="1766">
        <f t="shared" si="2"/>
        <v>0</v>
      </c>
    </row>
    <row r="90" spans="2:12" x14ac:dyDescent="0.3">
      <c r="B90" s="2428"/>
      <c r="C90" s="2429"/>
      <c r="D90" s="2430"/>
      <c r="E90" s="1454"/>
      <c r="F90" s="1450"/>
      <c r="G90" s="1444"/>
      <c r="H90" s="1458"/>
      <c r="I90" s="1458"/>
      <c r="J90" s="1445"/>
      <c r="K90" s="322"/>
      <c r="L90" s="1766">
        <f t="shared" si="2"/>
        <v>0</v>
      </c>
    </row>
    <row r="91" spans="2:12" x14ac:dyDescent="0.3">
      <c r="B91" s="2449"/>
      <c r="C91" s="2450"/>
      <c r="D91" s="2451"/>
      <c r="E91" s="1454"/>
      <c r="F91" s="1450"/>
      <c r="G91" s="1444"/>
      <c r="H91" s="1458"/>
      <c r="I91" s="1458"/>
      <c r="J91" s="1445"/>
      <c r="K91" s="322"/>
      <c r="L91" s="1766">
        <f t="shared" si="2"/>
        <v>0</v>
      </c>
    </row>
    <row r="92" spans="2:12" x14ac:dyDescent="0.3">
      <c r="B92" s="2449"/>
      <c r="C92" s="2450"/>
      <c r="D92" s="2451"/>
      <c r="E92" s="1408"/>
      <c r="F92" s="1450"/>
      <c r="G92" s="1444"/>
      <c r="H92" s="1458"/>
      <c r="I92" s="1458"/>
      <c r="J92" s="1445"/>
      <c r="K92" s="322"/>
      <c r="L92" s="1766">
        <f t="shared" si="2"/>
        <v>0</v>
      </c>
    </row>
    <row r="93" spans="2:12" x14ac:dyDescent="0.3">
      <c r="B93" s="2449"/>
      <c r="C93" s="2450"/>
      <c r="D93" s="2451"/>
      <c r="E93" s="1454"/>
      <c r="F93" s="1450"/>
      <c r="G93" s="1444"/>
      <c r="H93" s="1458"/>
      <c r="I93" s="1458"/>
      <c r="J93" s="1445"/>
      <c r="K93" s="322"/>
      <c r="L93" s="1766">
        <f t="shared" si="2"/>
        <v>0</v>
      </c>
    </row>
    <row r="94" spans="2:12" ht="14.4" thickBot="1" x14ac:dyDescent="0.35">
      <c r="B94" s="2449"/>
      <c r="C94" s="2450"/>
      <c r="D94" s="2451"/>
      <c r="E94" s="1454"/>
      <c r="F94" s="1450"/>
      <c r="G94" s="1444"/>
      <c r="H94" s="1457"/>
      <c r="I94" s="1457"/>
      <c r="J94" s="1417"/>
      <c r="K94" s="322"/>
      <c r="L94" s="1766">
        <f t="shared" si="2"/>
        <v>0</v>
      </c>
    </row>
    <row r="95" spans="2:12" ht="14.4" thickBot="1" x14ac:dyDescent="0.35">
      <c r="B95" s="2422"/>
      <c r="C95" s="2423"/>
      <c r="D95" s="2423"/>
      <c r="E95" s="320"/>
      <c r="F95" s="320"/>
      <c r="G95" s="850">
        <f>IF(SUM(K74+K83+K95)=0,0,1)</f>
        <v>0</v>
      </c>
      <c r="H95" s="316" t="s">
        <v>1434</v>
      </c>
      <c r="I95" s="314"/>
      <c r="J95" s="314"/>
      <c r="K95" s="317">
        <f>SUM(L85:L94)</f>
        <v>0</v>
      </c>
      <c r="L95" s="1766"/>
    </row>
    <row r="96" spans="2:12" ht="14.4" thickBot="1" x14ac:dyDescent="0.35">
      <c r="B96" s="793" t="s">
        <v>1443</v>
      </c>
      <c r="C96" s="803"/>
      <c r="D96" s="803"/>
      <c r="E96" s="1510"/>
      <c r="F96" s="1510"/>
      <c r="G96" s="1510"/>
      <c r="H96" s="1510"/>
      <c r="I96" s="1510"/>
      <c r="J96" s="1510"/>
      <c r="K96" s="1511"/>
      <c r="L96" s="1766"/>
    </row>
    <row r="97" spans="2:18" x14ac:dyDescent="0.3">
      <c r="B97" s="2424"/>
      <c r="C97" s="2425"/>
      <c r="D97" s="2425"/>
      <c r="E97" s="1452"/>
      <c r="F97" s="1448"/>
      <c r="G97" s="1447"/>
      <c r="H97" s="1456"/>
      <c r="I97" s="1456"/>
      <c r="J97" s="1442"/>
      <c r="K97" s="321"/>
      <c r="L97" s="1766">
        <f t="shared" si="2"/>
        <v>0</v>
      </c>
      <c r="R97" s="430" t="str">
        <f t="shared" si="1"/>
        <v/>
      </c>
    </row>
    <row r="98" spans="2:18" x14ac:dyDescent="0.3">
      <c r="B98" s="2428"/>
      <c r="C98" s="2429"/>
      <c r="D98" s="2430"/>
      <c r="E98" s="1454"/>
      <c r="F98" s="1450"/>
      <c r="G98" s="1444"/>
      <c r="H98" s="1458"/>
      <c r="I98" s="1458"/>
      <c r="J98" s="1445"/>
      <c r="K98" s="322"/>
      <c r="L98" s="1766">
        <f t="shared" si="2"/>
        <v>0</v>
      </c>
      <c r="R98" s="430" t="str">
        <f t="shared" si="1"/>
        <v/>
      </c>
    </row>
    <row r="99" spans="2:18" x14ac:dyDescent="0.3">
      <c r="B99" s="1404"/>
      <c r="C99" s="1416"/>
      <c r="D99" s="1712"/>
      <c r="E99" s="1454"/>
      <c r="F99" s="1450"/>
      <c r="G99" s="1444"/>
      <c r="H99" s="1458"/>
      <c r="I99" s="1458"/>
      <c r="J99" s="1445"/>
      <c r="K99" s="322"/>
      <c r="L99" s="1766">
        <f t="shared" si="2"/>
        <v>0</v>
      </c>
      <c r="R99" s="430" t="str">
        <f t="shared" si="1"/>
        <v/>
      </c>
    </row>
    <row r="100" spans="2:18" x14ac:dyDescent="0.3">
      <c r="B100" s="2428"/>
      <c r="C100" s="2429"/>
      <c r="D100" s="2430"/>
      <c r="E100" s="1454"/>
      <c r="F100" s="1450"/>
      <c r="G100" s="1444"/>
      <c r="H100" s="1458"/>
      <c r="I100" s="1458"/>
      <c r="J100" s="1445"/>
      <c r="K100" s="322"/>
      <c r="L100" s="1766">
        <f t="shared" si="2"/>
        <v>0</v>
      </c>
      <c r="R100" s="430" t="str">
        <f t="shared" si="1"/>
        <v/>
      </c>
    </row>
    <row r="101" spans="2:18" x14ac:dyDescent="0.3">
      <c r="B101" s="2428"/>
      <c r="C101" s="2429"/>
      <c r="D101" s="2430"/>
      <c r="E101" s="1454"/>
      <c r="F101" s="1450"/>
      <c r="G101" s="1444"/>
      <c r="H101" s="1458"/>
      <c r="I101" s="1458"/>
      <c r="J101" s="1445"/>
      <c r="K101" s="322"/>
      <c r="L101" s="1766">
        <f t="shared" si="2"/>
        <v>0</v>
      </c>
      <c r="R101" s="430" t="str">
        <f t="shared" si="1"/>
        <v/>
      </c>
    </row>
    <row r="102" spans="2:18" x14ac:dyDescent="0.3">
      <c r="B102" s="2428"/>
      <c r="C102" s="2429"/>
      <c r="D102" s="2430"/>
      <c r="E102" s="1454"/>
      <c r="F102" s="1450"/>
      <c r="G102" s="1444"/>
      <c r="H102" s="1458"/>
      <c r="I102" s="1458"/>
      <c r="J102" s="1445"/>
      <c r="K102" s="322"/>
      <c r="L102" s="1766">
        <f t="shared" si="2"/>
        <v>0</v>
      </c>
      <c r="R102" s="430" t="str">
        <f t="shared" si="1"/>
        <v/>
      </c>
    </row>
    <row r="103" spans="2:18" x14ac:dyDescent="0.3">
      <c r="B103" s="2420"/>
      <c r="C103" s="2421"/>
      <c r="D103" s="2421"/>
      <c r="E103" s="1454"/>
      <c r="F103" s="1450"/>
      <c r="G103" s="1444"/>
      <c r="H103" s="1458"/>
      <c r="I103" s="1458"/>
      <c r="J103" s="1445"/>
      <c r="K103" s="322"/>
      <c r="L103" s="1766">
        <f t="shared" si="2"/>
        <v>0</v>
      </c>
      <c r="R103" s="430" t="str">
        <f t="shared" si="1"/>
        <v/>
      </c>
    </row>
    <row r="104" spans="2:18" x14ac:dyDescent="0.3">
      <c r="B104" s="2420"/>
      <c r="C104" s="2421"/>
      <c r="D104" s="2421"/>
      <c r="E104" s="1454"/>
      <c r="F104" s="1450"/>
      <c r="G104" s="1444"/>
      <c r="H104" s="1458"/>
      <c r="I104" s="1458"/>
      <c r="J104" s="1445"/>
      <c r="K104" s="322"/>
      <c r="L104" s="1766">
        <f t="shared" si="2"/>
        <v>0</v>
      </c>
      <c r="R104" s="430" t="str">
        <f t="shared" si="1"/>
        <v/>
      </c>
    </row>
    <row r="105" spans="2:18" x14ac:dyDescent="0.3">
      <c r="B105" s="2420"/>
      <c r="C105" s="2421"/>
      <c r="D105" s="2421"/>
      <c r="E105" s="1454"/>
      <c r="F105" s="1450"/>
      <c r="G105" s="1444"/>
      <c r="H105" s="1458"/>
      <c r="I105" s="1458"/>
      <c r="J105" s="1445"/>
      <c r="K105" s="322"/>
      <c r="L105" s="1766">
        <f t="shared" si="2"/>
        <v>0</v>
      </c>
      <c r="R105" s="430" t="str">
        <f t="shared" si="1"/>
        <v/>
      </c>
    </row>
    <row r="106" spans="2:18" ht="14.4" thickBot="1" x14ac:dyDescent="0.35">
      <c r="B106" s="2420"/>
      <c r="C106" s="2421"/>
      <c r="D106" s="2421"/>
      <c r="E106" s="1454"/>
      <c r="F106" s="1450"/>
      <c r="G106" s="1446"/>
      <c r="H106" s="1457"/>
      <c r="I106" s="1457"/>
      <c r="J106" s="1417"/>
      <c r="K106" s="1757"/>
      <c r="L106" s="1766">
        <f t="shared" si="2"/>
        <v>0</v>
      </c>
      <c r="R106" s="430" t="str">
        <f t="shared" si="1"/>
        <v/>
      </c>
    </row>
    <row r="107" spans="2:18" ht="14.4" thickBot="1" x14ac:dyDescent="0.35">
      <c r="B107" s="2422"/>
      <c r="C107" s="2423"/>
      <c r="D107" s="2423"/>
      <c r="E107" s="320"/>
      <c r="F107" s="320"/>
      <c r="G107" s="850">
        <f>IF(SUM(K86+K95+K107)=0,0,1)</f>
        <v>0</v>
      </c>
      <c r="H107" s="316" t="s">
        <v>1436</v>
      </c>
      <c r="I107" s="314"/>
      <c r="J107" s="314"/>
      <c r="K107" s="317">
        <f>SUM(L97:L106)</f>
        <v>0</v>
      </c>
      <c r="L107" s="1766"/>
    </row>
    <row r="108" spans="2:18" ht="16.2" thickBot="1" x14ac:dyDescent="0.35">
      <c r="B108" s="2433" t="s">
        <v>957</v>
      </c>
      <c r="C108" s="2434"/>
      <c r="D108" s="2434"/>
      <c r="E108" s="2434"/>
      <c r="F108" s="2434"/>
      <c r="G108" s="2434"/>
      <c r="H108" s="2434"/>
      <c r="I108" s="2434"/>
      <c r="J108" s="2434"/>
      <c r="K108" s="2435"/>
      <c r="L108" s="1766"/>
    </row>
    <row r="109" spans="2:18" x14ac:dyDescent="0.3">
      <c r="B109" s="2436" t="s">
        <v>896</v>
      </c>
      <c r="C109" s="2437"/>
      <c r="D109" s="2437"/>
      <c r="E109" s="2437"/>
      <c r="F109" s="2437"/>
      <c r="G109" s="2437"/>
      <c r="H109" s="2437"/>
      <c r="I109" s="2437"/>
      <c r="J109" s="2437"/>
      <c r="K109" s="2438"/>
      <c r="L109" s="1766"/>
    </row>
    <row r="110" spans="2:18" ht="13.95" customHeight="1" thickBot="1" x14ac:dyDescent="0.35">
      <c r="B110" s="2439" t="s">
        <v>944</v>
      </c>
      <c r="C110" s="2440"/>
      <c r="D110" s="2440"/>
      <c r="E110" s="2440"/>
      <c r="F110" s="2440"/>
      <c r="G110" s="2440"/>
      <c r="H110" s="2440"/>
      <c r="I110" s="2440"/>
      <c r="J110" s="2440"/>
      <c r="K110" s="2441"/>
      <c r="L110" s="1766"/>
    </row>
    <row r="111" spans="2:18" x14ac:dyDescent="0.3">
      <c r="B111" s="432"/>
      <c r="C111" s="337"/>
      <c r="D111" s="337"/>
      <c r="E111" s="1424"/>
      <c r="F111" s="305"/>
      <c r="G111" s="68"/>
      <c r="H111" s="306"/>
      <c r="I111" s="306"/>
      <c r="J111" s="306"/>
      <c r="K111" s="306"/>
      <c r="L111" s="1766"/>
    </row>
    <row r="112" spans="2:18" ht="14.4" x14ac:dyDescent="0.3">
      <c r="B112" s="1421" t="s">
        <v>1267</v>
      </c>
      <c r="C112" s="953"/>
      <c r="D112" s="953"/>
      <c r="E112" s="1425"/>
      <c r="F112" s="1401" t="s">
        <v>1270</v>
      </c>
      <c r="G112" s="324" t="s">
        <v>911</v>
      </c>
      <c r="H112" s="307" t="s">
        <v>897</v>
      </c>
      <c r="I112" s="307" t="s">
        <v>897</v>
      </c>
      <c r="J112" s="307" t="s">
        <v>898</v>
      </c>
      <c r="K112" s="307" t="s">
        <v>899</v>
      </c>
      <c r="L112" s="1766"/>
    </row>
    <row r="113" spans="2:12" ht="14.4" x14ac:dyDescent="0.3">
      <c r="B113" s="1423" t="s">
        <v>619</v>
      </c>
      <c r="C113" s="1422"/>
      <c r="D113" s="1422"/>
      <c r="E113" s="1425"/>
      <c r="F113" s="1401" t="s">
        <v>1271</v>
      </c>
      <c r="G113" s="324" t="s">
        <v>19</v>
      </c>
      <c r="H113" s="307" t="s">
        <v>900</v>
      </c>
      <c r="I113" s="307" t="s">
        <v>901</v>
      </c>
      <c r="J113" s="307" t="s">
        <v>902</v>
      </c>
      <c r="K113" s="307" t="s">
        <v>903</v>
      </c>
      <c r="L113" s="1766"/>
    </row>
    <row r="114" spans="2:12" ht="15" thickBot="1" x14ac:dyDescent="0.35">
      <c r="B114" s="1428" t="s">
        <v>905</v>
      </c>
      <c r="C114" s="1429"/>
      <c r="D114" s="1429"/>
      <c r="E114" s="1426" t="s">
        <v>906</v>
      </c>
      <c r="F114" s="1420" t="s">
        <v>904</v>
      </c>
      <c r="G114" s="68"/>
      <c r="H114" s="308" t="s">
        <v>907</v>
      </c>
      <c r="I114" s="308" t="s">
        <v>907</v>
      </c>
      <c r="J114" s="307" t="s">
        <v>908</v>
      </c>
      <c r="K114" s="307" t="s">
        <v>909</v>
      </c>
      <c r="L114" s="1766"/>
    </row>
    <row r="115" spans="2:12" ht="14.4" thickBot="1" x14ac:dyDescent="0.35">
      <c r="B115" s="793" t="s">
        <v>1446</v>
      </c>
      <c r="C115" s="794"/>
      <c r="D115" s="794"/>
      <c r="E115" s="794"/>
      <c r="F115" s="794"/>
      <c r="G115" s="794"/>
      <c r="H115" s="794"/>
      <c r="I115" s="794"/>
      <c r="J115" s="794"/>
      <c r="K115" s="1778">
        <f>IF(SUM(K127+K136+K148+K160)=0,0,1)</f>
        <v>0</v>
      </c>
      <c r="L115" s="1766"/>
    </row>
    <row r="116" spans="2:12" x14ac:dyDescent="0.3">
      <c r="B116" s="2431"/>
      <c r="C116" s="2432"/>
      <c r="D116" s="2432"/>
      <c r="E116" s="1452"/>
      <c r="F116" s="1448"/>
      <c r="G116" s="1441"/>
      <c r="H116" s="1456"/>
      <c r="I116" s="1456"/>
      <c r="J116" s="1442"/>
      <c r="K116" s="321"/>
      <c r="L116" s="1766">
        <f t="shared" si="2"/>
        <v>0</v>
      </c>
    </row>
    <row r="117" spans="2:12" x14ac:dyDescent="0.3">
      <c r="B117" s="2420"/>
      <c r="C117" s="2421"/>
      <c r="D117" s="2421"/>
      <c r="E117" s="1452"/>
      <c r="F117" s="1448"/>
      <c r="G117" s="1441"/>
      <c r="H117" s="1456"/>
      <c r="I117" s="1456"/>
      <c r="J117" s="1442"/>
      <c r="K117" s="321"/>
      <c r="L117" s="1766">
        <f t="shared" si="2"/>
        <v>0</v>
      </c>
    </row>
    <row r="118" spans="2:12" x14ac:dyDescent="0.3">
      <c r="B118" s="2420"/>
      <c r="C118" s="2421"/>
      <c r="D118" s="2421"/>
      <c r="E118" s="1453"/>
      <c r="F118" s="1449"/>
      <c r="G118" s="1443"/>
      <c r="H118" s="1457"/>
      <c r="I118" s="1457"/>
      <c r="J118" s="1417"/>
      <c r="K118" s="321"/>
      <c r="L118" s="1766">
        <f t="shared" si="2"/>
        <v>0</v>
      </c>
    </row>
    <row r="119" spans="2:12" x14ac:dyDescent="0.3">
      <c r="B119" s="2420"/>
      <c r="C119" s="2421"/>
      <c r="D119" s="2421"/>
      <c r="E119" s="1455"/>
      <c r="F119" s="1450"/>
      <c r="G119" s="1444"/>
      <c r="H119" s="1458"/>
      <c r="I119" s="1458"/>
      <c r="J119" s="1445"/>
      <c r="K119" s="321"/>
      <c r="L119" s="1766">
        <f t="shared" si="2"/>
        <v>0</v>
      </c>
    </row>
    <row r="120" spans="2:12" x14ac:dyDescent="0.3">
      <c r="B120" s="2420"/>
      <c r="C120" s="2421"/>
      <c r="D120" s="2421"/>
      <c r="E120" s="1454"/>
      <c r="F120" s="1450"/>
      <c r="G120" s="1444"/>
      <c r="H120" s="1458"/>
      <c r="I120" s="1458"/>
      <c r="J120" s="1445"/>
      <c r="K120" s="321"/>
      <c r="L120" s="1766">
        <f t="shared" si="2"/>
        <v>0</v>
      </c>
    </row>
    <row r="121" spans="2:12" x14ac:dyDescent="0.3">
      <c r="B121" s="2420"/>
      <c r="C121" s="2421"/>
      <c r="D121" s="2421"/>
      <c r="E121" s="1454"/>
      <c r="F121" s="1450"/>
      <c r="G121" s="1444"/>
      <c r="H121" s="1458"/>
      <c r="I121" s="1458"/>
      <c r="J121" s="1445"/>
      <c r="K121" s="321"/>
      <c r="L121" s="1766">
        <f t="shared" si="2"/>
        <v>0</v>
      </c>
    </row>
    <row r="122" spans="2:12" x14ac:dyDescent="0.3">
      <c r="B122" s="2420"/>
      <c r="C122" s="2421"/>
      <c r="D122" s="2421"/>
      <c r="E122" s="1454"/>
      <c r="F122" s="1450"/>
      <c r="G122" s="1444"/>
      <c r="H122" s="1458"/>
      <c r="I122" s="1458"/>
      <c r="J122" s="1445"/>
      <c r="K122" s="321"/>
      <c r="L122" s="1766">
        <f t="shared" si="2"/>
        <v>0</v>
      </c>
    </row>
    <row r="123" spans="2:12" x14ac:dyDescent="0.3">
      <c r="B123" s="2420"/>
      <c r="C123" s="2421"/>
      <c r="D123" s="2421"/>
      <c r="E123" s="1454"/>
      <c r="F123" s="1450"/>
      <c r="G123" s="1444"/>
      <c r="H123" s="1458"/>
      <c r="I123" s="1458"/>
      <c r="J123" s="1445"/>
      <c r="K123" s="321"/>
      <c r="L123" s="1766">
        <f t="shared" si="2"/>
        <v>0</v>
      </c>
    </row>
    <row r="124" spans="2:12" x14ac:dyDescent="0.3">
      <c r="B124" s="2420"/>
      <c r="C124" s="2421"/>
      <c r="D124" s="2421"/>
      <c r="E124" s="1454"/>
      <c r="F124" s="1450"/>
      <c r="G124" s="1444"/>
      <c r="H124" s="1458"/>
      <c r="I124" s="1458"/>
      <c r="J124" s="1445"/>
      <c r="K124" s="321"/>
      <c r="L124" s="1766">
        <f t="shared" si="2"/>
        <v>0</v>
      </c>
    </row>
    <row r="125" spans="2:12" x14ac:dyDescent="0.3">
      <c r="B125" s="2420"/>
      <c r="C125" s="2421"/>
      <c r="D125" s="2421"/>
      <c r="E125" s="1454"/>
      <c r="F125" s="1450"/>
      <c r="G125" s="1444"/>
      <c r="H125" s="1458"/>
      <c r="I125" s="1458"/>
      <c r="J125" s="1445"/>
      <c r="K125" s="321"/>
      <c r="L125" s="1766">
        <f t="shared" si="2"/>
        <v>0</v>
      </c>
    </row>
    <row r="126" spans="2:12" ht="14.4" thickBot="1" x14ac:dyDescent="0.35">
      <c r="B126" s="2420"/>
      <c r="C126" s="2421"/>
      <c r="D126" s="2421"/>
      <c r="E126" s="1454"/>
      <c r="F126" s="1450"/>
      <c r="G126" s="1444"/>
      <c r="H126" s="1458"/>
      <c r="I126" s="1457"/>
      <c r="J126" s="1417"/>
      <c r="K126" s="321"/>
      <c r="L126" s="1766">
        <f t="shared" si="2"/>
        <v>0</v>
      </c>
    </row>
    <row r="127" spans="2:12" ht="14.4" thickBot="1" x14ac:dyDescent="0.35">
      <c r="B127" s="2422"/>
      <c r="C127" s="2423"/>
      <c r="D127" s="2423"/>
      <c r="E127" s="320"/>
      <c r="F127" s="138"/>
      <c r="G127" s="320"/>
      <c r="H127" s="316" t="s">
        <v>1437</v>
      </c>
      <c r="I127" s="316"/>
      <c r="J127" s="314"/>
      <c r="K127" s="317">
        <f>SUM(L116:L126)</f>
        <v>0</v>
      </c>
      <c r="L127" s="1766"/>
    </row>
    <row r="128" spans="2:12" ht="14.4" thickBot="1" x14ac:dyDescent="0.35">
      <c r="B128" s="793" t="s">
        <v>1445</v>
      </c>
      <c r="C128" s="803"/>
      <c r="D128" s="803"/>
      <c r="E128" s="1510"/>
      <c r="F128" s="1510"/>
      <c r="G128" s="1510"/>
      <c r="H128" s="1510"/>
      <c r="I128" s="1510"/>
      <c r="J128" s="1510"/>
      <c r="K128" s="1511"/>
      <c r="L128" s="1766"/>
    </row>
    <row r="129" spans="2:12" x14ac:dyDescent="0.3">
      <c r="B129" s="2424"/>
      <c r="C129" s="2425"/>
      <c r="D129" s="2425"/>
      <c r="E129" s="1452"/>
      <c r="F129" s="1448"/>
      <c r="G129" s="1441"/>
      <c r="H129" s="1456"/>
      <c r="I129" s="1456"/>
      <c r="J129" s="1442"/>
      <c r="K129" s="321"/>
      <c r="L129" s="1766">
        <f t="shared" si="2"/>
        <v>0</v>
      </c>
    </row>
    <row r="130" spans="2:12" x14ac:dyDescent="0.3">
      <c r="B130" s="2420"/>
      <c r="C130" s="2421"/>
      <c r="D130" s="2421"/>
      <c r="E130" s="1454"/>
      <c r="F130" s="1450"/>
      <c r="G130" s="1444"/>
      <c r="H130" s="1458"/>
      <c r="I130" s="1458"/>
      <c r="J130" s="1445"/>
      <c r="K130" s="321"/>
      <c r="L130" s="1766">
        <f t="shared" si="2"/>
        <v>0</v>
      </c>
    </row>
    <row r="131" spans="2:12" x14ac:dyDescent="0.3">
      <c r="B131" s="2420"/>
      <c r="C131" s="2421"/>
      <c r="D131" s="2421"/>
      <c r="E131" s="1454"/>
      <c r="F131" s="1450"/>
      <c r="G131" s="1444"/>
      <c r="H131" s="1458"/>
      <c r="I131" s="1458"/>
      <c r="J131" s="1445"/>
      <c r="K131" s="321"/>
      <c r="L131" s="1766">
        <f t="shared" si="2"/>
        <v>0</v>
      </c>
    </row>
    <row r="132" spans="2:12" x14ac:dyDescent="0.3">
      <c r="B132" s="2420"/>
      <c r="C132" s="2421"/>
      <c r="D132" s="2421"/>
      <c r="E132" s="1454"/>
      <c r="F132" s="1450"/>
      <c r="G132" s="1444"/>
      <c r="H132" s="1458"/>
      <c r="I132" s="1458"/>
      <c r="J132" s="1445"/>
      <c r="K132" s="321"/>
      <c r="L132" s="1766">
        <f t="shared" si="2"/>
        <v>0</v>
      </c>
    </row>
    <row r="133" spans="2:12" x14ac:dyDescent="0.3">
      <c r="B133" s="2420"/>
      <c r="C133" s="2421"/>
      <c r="D133" s="2421"/>
      <c r="E133" s="1454"/>
      <c r="F133" s="1450"/>
      <c r="G133" s="1444"/>
      <c r="H133" s="1458"/>
      <c r="I133" s="1458"/>
      <c r="J133" s="1445"/>
      <c r="K133" s="321"/>
      <c r="L133" s="1766">
        <f>IF(K133="",0,1)</f>
        <v>0</v>
      </c>
    </row>
    <row r="134" spans="2:12" x14ac:dyDescent="0.3">
      <c r="B134" s="2420"/>
      <c r="C134" s="2421"/>
      <c r="D134" s="2421"/>
      <c r="E134" s="1454"/>
      <c r="F134" s="1450"/>
      <c r="G134" s="1444"/>
      <c r="H134" s="1458"/>
      <c r="I134" s="1458"/>
      <c r="J134" s="1445"/>
      <c r="K134" s="321"/>
      <c r="L134" s="1766">
        <f>IF(K134="",0,1)</f>
        <v>0</v>
      </c>
    </row>
    <row r="135" spans="2:12" ht="14.4" thickBot="1" x14ac:dyDescent="0.35">
      <c r="B135" s="2420"/>
      <c r="C135" s="2421"/>
      <c r="D135" s="2421"/>
      <c r="E135" s="1454"/>
      <c r="F135" s="1450"/>
      <c r="G135" s="1444"/>
      <c r="H135" s="1457"/>
      <c r="I135" s="1457"/>
      <c r="J135" s="1417"/>
      <c r="K135" s="321"/>
      <c r="L135" s="1766">
        <f>IF(K135="",0,1)</f>
        <v>0</v>
      </c>
    </row>
    <row r="136" spans="2:12" ht="14.4" thickBot="1" x14ac:dyDescent="0.35">
      <c r="B136" s="2426"/>
      <c r="C136" s="2427"/>
      <c r="D136" s="2427"/>
      <c r="E136" s="320"/>
      <c r="F136" s="323"/>
      <c r="G136" s="309"/>
      <c r="H136" s="316" t="s">
        <v>1438</v>
      </c>
      <c r="I136" s="314"/>
      <c r="J136" s="314"/>
      <c r="K136" s="317">
        <f>SUM(L129:L135)</f>
        <v>0</v>
      </c>
      <c r="L136" s="1766"/>
    </row>
    <row r="137" spans="2:12" ht="14.4" thickBot="1" x14ac:dyDescent="0.35">
      <c r="B137" s="793" t="s">
        <v>1444</v>
      </c>
      <c r="C137" s="803"/>
      <c r="D137" s="803"/>
      <c r="E137" s="1510"/>
      <c r="F137" s="1510"/>
      <c r="G137" s="1510"/>
      <c r="H137" s="1510"/>
      <c r="I137" s="1510"/>
      <c r="J137" s="1510"/>
      <c r="K137" s="1511"/>
      <c r="L137" s="1766"/>
    </row>
    <row r="138" spans="2:12" x14ac:dyDescent="0.3">
      <c r="B138" s="2424"/>
      <c r="C138" s="2425"/>
      <c r="D138" s="2425"/>
      <c r="E138" s="1452"/>
      <c r="F138" s="1448"/>
      <c r="G138" s="1447"/>
      <c r="H138" s="1456"/>
      <c r="I138" s="1456"/>
      <c r="J138" s="1442"/>
      <c r="K138" s="321"/>
      <c r="L138" s="1766">
        <f t="shared" ref="L138:L147" si="3">IF(K138="",0,1)</f>
        <v>0</v>
      </c>
    </row>
    <row r="139" spans="2:12" x14ac:dyDescent="0.3">
      <c r="B139" s="2428"/>
      <c r="C139" s="2429"/>
      <c r="D139" s="2430"/>
      <c r="E139" s="1454"/>
      <c r="F139" s="1450"/>
      <c r="G139" s="1444"/>
      <c r="H139" s="1458"/>
      <c r="I139" s="1458"/>
      <c r="J139" s="1445"/>
      <c r="K139" s="322"/>
      <c r="L139" s="1766">
        <f t="shared" si="3"/>
        <v>0</v>
      </c>
    </row>
    <row r="140" spans="2:12" x14ac:dyDescent="0.3">
      <c r="B140" s="2428"/>
      <c r="C140" s="2429"/>
      <c r="D140" s="2430"/>
      <c r="E140" s="1454"/>
      <c r="F140" s="1450"/>
      <c r="G140" s="1444"/>
      <c r="H140" s="1458"/>
      <c r="I140" s="1458"/>
      <c r="J140" s="1445"/>
      <c r="K140" s="322"/>
      <c r="L140" s="1766">
        <f t="shared" si="3"/>
        <v>0</v>
      </c>
    </row>
    <row r="141" spans="2:12" x14ac:dyDescent="0.3">
      <c r="B141" s="1404"/>
      <c r="C141" s="1416"/>
      <c r="D141" s="1712"/>
      <c r="E141" s="1454"/>
      <c r="F141" s="1450"/>
      <c r="G141" s="1444"/>
      <c r="H141" s="1458"/>
      <c r="I141" s="1458"/>
      <c r="J141" s="1445"/>
      <c r="K141" s="322"/>
      <c r="L141" s="1766">
        <f t="shared" si="3"/>
        <v>0</v>
      </c>
    </row>
    <row r="142" spans="2:12" x14ac:dyDescent="0.3">
      <c r="B142" s="2428"/>
      <c r="C142" s="2429"/>
      <c r="D142" s="2430"/>
      <c r="E142" s="1454"/>
      <c r="F142" s="1450"/>
      <c r="G142" s="1444"/>
      <c r="H142" s="1458"/>
      <c r="I142" s="1458"/>
      <c r="J142" s="1445"/>
      <c r="K142" s="322"/>
      <c r="L142" s="1766">
        <f t="shared" si="3"/>
        <v>0</v>
      </c>
    </row>
    <row r="143" spans="2:12" x14ac:dyDescent="0.3">
      <c r="B143" s="2428"/>
      <c r="C143" s="2429"/>
      <c r="D143" s="2430"/>
      <c r="E143" s="1454"/>
      <c r="F143" s="1450"/>
      <c r="G143" s="1444"/>
      <c r="H143" s="1458"/>
      <c r="I143" s="1458"/>
      <c r="J143" s="1445"/>
      <c r="K143" s="322"/>
      <c r="L143" s="1766">
        <f t="shared" si="3"/>
        <v>0</v>
      </c>
    </row>
    <row r="144" spans="2:12" x14ac:dyDescent="0.3">
      <c r="B144" s="2420"/>
      <c r="C144" s="2421"/>
      <c r="D144" s="2421"/>
      <c r="E144" s="1454"/>
      <c r="F144" s="1450"/>
      <c r="G144" s="1444"/>
      <c r="H144" s="1458"/>
      <c r="I144" s="1458"/>
      <c r="J144" s="1445"/>
      <c r="K144" s="322"/>
      <c r="L144" s="1766">
        <f t="shared" si="3"/>
        <v>0</v>
      </c>
    </row>
    <row r="145" spans="2:18" x14ac:dyDescent="0.3">
      <c r="B145" s="2420"/>
      <c r="C145" s="2421"/>
      <c r="D145" s="2421"/>
      <c r="E145" s="1454"/>
      <c r="F145" s="1450"/>
      <c r="G145" s="1444"/>
      <c r="H145" s="1458"/>
      <c r="I145" s="1458"/>
      <c r="J145" s="1445"/>
      <c r="K145" s="322"/>
      <c r="L145" s="1766">
        <f t="shared" si="3"/>
        <v>0</v>
      </c>
    </row>
    <row r="146" spans="2:18" x14ac:dyDescent="0.3">
      <c r="B146" s="2420"/>
      <c r="C146" s="2421"/>
      <c r="D146" s="2421"/>
      <c r="E146" s="1454"/>
      <c r="F146" s="1450"/>
      <c r="G146" s="1444"/>
      <c r="H146" s="1458"/>
      <c r="I146" s="1458"/>
      <c r="J146" s="1445"/>
      <c r="K146" s="322"/>
      <c r="L146" s="1766">
        <f t="shared" si="3"/>
        <v>0</v>
      </c>
    </row>
    <row r="147" spans="2:18" ht="14.4" thickBot="1" x14ac:dyDescent="0.35">
      <c r="B147" s="2420"/>
      <c r="C147" s="2421"/>
      <c r="D147" s="2421"/>
      <c r="E147" s="1454"/>
      <c r="F147" s="1450"/>
      <c r="G147" s="1446"/>
      <c r="H147" s="1457"/>
      <c r="I147" s="1457"/>
      <c r="J147" s="1417"/>
      <c r="K147" s="322"/>
      <c r="L147" s="1766">
        <f t="shared" si="3"/>
        <v>0</v>
      </c>
    </row>
    <row r="148" spans="2:18" ht="14.4" thickBot="1" x14ac:dyDescent="0.35">
      <c r="B148" s="2422"/>
      <c r="C148" s="2423"/>
      <c r="D148" s="2423"/>
      <c r="E148" s="320"/>
      <c r="F148" s="320"/>
      <c r="G148" s="850">
        <f>IF(SUM(K127+K136+K148)=0,0,1)</f>
        <v>0</v>
      </c>
      <c r="H148" s="316" t="s">
        <v>1434</v>
      </c>
      <c r="I148" s="314"/>
      <c r="J148" s="314"/>
      <c r="K148" s="317">
        <f>SUM(L138:L147)</f>
        <v>0</v>
      </c>
      <c r="L148" s="1766"/>
    </row>
    <row r="149" spans="2:18" ht="14.4" thickBot="1" x14ac:dyDescent="0.35">
      <c r="B149" s="793" t="s">
        <v>1443</v>
      </c>
      <c r="C149" s="803"/>
      <c r="D149" s="803"/>
      <c r="E149" s="1510"/>
      <c r="F149" s="1510"/>
      <c r="G149" s="1510"/>
      <c r="H149" s="1510"/>
      <c r="I149" s="1510"/>
      <c r="J149" s="1510"/>
      <c r="K149" s="1511"/>
    </row>
    <row r="150" spans="2:18" x14ac:dyDescent="0.3">
      <c r="B150" s="2424"/>
      <c r="C150" s="2425"/>
      <c r="D150" s="2425"/>
      <c r="E150" s="1452"/>
      <c r="F150" s="1448"/>
      <c r="G150" s="1447"/>
      <c r="H150" s="1456"/>
      <c r="I150" s="1456"/>
      <c r="J150" s="1442"/>
      <c r="K150" s="321"/>
      <c r="L150" s="1766">
        <f t="shared" ref="L150:L159" si="4">IF(K150="",0,1)</f>
        <v>0</v>
      </c>
      <c r="R150" s="430" t="str">
        <f t="shared" ref="R150:R159" si="5">IF(K150="","",K150)</f>
        <v/>
      </c>
    </row>
    <row r="151" spans="2:18" x14ac:dyDescent="0.3">
      <c r="B151" s="2428"/>
      <c r="C151" s="2429"/>
      <c r="D151" s="2430"/>
      <c r="E151" s="1454"/>
      <c r="F151" s="1450"/>
      <c r="G151" s="1444"/>
      <c r="H151" s="1458"/>
      <c r="I151" s="1458"/>
      <c r="J151" s="1445"/>
      <c r="K151" s="322"/>
      <c r="L151" s="1766">
        <f t="shared" si="4"/>
        <v>0</v>
      </c>
      <c r="R151" s="430" t="str">
        <f t="shared" si="5"/>
        <v/>
      </c>
    </row>
    <row r="152" spans="2:18" x14ac:dyDescent="0.3">
      <c r="B152" s="1404"/>
      <c r="C152" s="1416"/>
      <c r="D152" s="1712"/>
      <c r="E152" s="1454"/>
      <c r="F152" s="1450"/>
      <c r="G152" s="1444"/>
      <c r="H152" s="1458"/>
      <c r="I152" s="1458"/>
      <c r="J152" s="1445"/>
      <c r="K152" s="322"/>
      <c r="L152" s="1766">
        <f t="shared" si="4"/>
        <v>0</v>
      </c>
      <c r="R152" s="430" t="str">
        <f t="shared" si="5"/>
        <v/>
      </c>
    </row>
    <row r="153" spans="2:18" x14ac:dyDescent="0.3">
      <c r="B153" s="2428"/>
      <c r="C153" s="2429"/>
      <c r="D153" s="2430"/>
      <c r="E153" s="1454"/>
      <c r="F153" s="1450"/>
      <c r="G153" s="1444"/>
      <c r="H153" s="1458"/>
      <c r="I153" s="1458"/>
      <c r="J153" s="1445"/>
      <c r="K153" s="322"/>
      <c r="L153" s="1766">
        <f t="shared" si="4"/>
        <v>0</v>
      </c>
      <c r="R153" s="430" t="str">
        <f t="shared" si="5"/>
        <v/>
      </c>
    </row>
    <row r="154" spans="2:18" x14ac:dyDescent="0.3">
      <c r="B154" s="2428"/>
      <c r="C154" s="2429"/>
      <c r="D154" s="2430"/>
      <c r="E154" s="1454"/>
      <c r="F154" s="1450"/>
      <c r="G154" s="1444"/>
      <c r="H154" s="1458"/>
      <c r="I154" s="1458"/>
      <c r="J154" s="1445"/>
      <c r="K154" s="322"/>
      <c r="L154" s="1766">
        <f t="shared" si="4"/>
        <v>0</v>
      </c>
      <c r="R154" s="430" t="str">
        <f t="shared" si="5"/>
        <v/>
      </c>
    </row>
    <row r="155" spans="2:18" x14ac:dyDescent="0.3">
      <c r="B155" s="2428"/>
      <c r="C155" s="2429"/>
      <c r="D155" s="2430"/>
      <c r="E155" s="1454"/>
      <c r="F155" s="1450"/>
      <c r="G155" s="1444"/>
      <c r="H155" s="1458"/>
      <c r="I155" s="1458"/>
      <c r="J155" s="1445"/>
      <c r="K155" s="322"/>
      <c r="L155" s="1766">
        <f t="shared" si="4"/>
        <v>0</v>
      </c>
      <c r="R155" s="430" t="str">
        <f t="shared" si="5"/>
        <v/>
      </c>
    </row>
    <row r="156" spans="2:18" x14ac:dyDescent="0.3">
      <c r="B156" s="2420"/>
      <c r="C156" s="2421"/>
      <c r="D156" s="2421"/>
      <c r="E156" s="1454"/>
      <c r="F156" s="1450"/>
      <c r="G156" s="1444"/>
      <c r="H156" s="1458"/>
      <c r="I156" s="1458"/>
      <c r="J156" s="1445"/>
      <c r="K156" s="322"/>
      <c r="L156" s="1766">
        <f t="shared" si="4"/>
        <v>0</v>
      </c>
      <c r="R156" s="430" t="str">
        <f t="shared" si="5"/>
        <v/>
      </c>
    </row>
    <row r="157" spans="2:18" x14ac:dyDescent="0.3">
      <c r="B157" s="2420"/>
      <c r="C157" s="2421"/>
      <c r="D157" s="2421"/>
      <c r="E157" s="1454"/>
      <c r="F157" s="1450"/>
      <c r="G157" s="1444"/>
      <c r="H157" s="1458"/>
      <c r="I157" s="1458"/>
      <c r="J157" s="1445"/>
      <c r="K157" s="322"/>
      <c r="L157" s="1766">
        <f t="shared" si="4"/>
        <v>0</v>
      </c>
      <c r="R157" s="430" t="str">
        <f t="shared" si="5"/>
        <v/>
      </c>
    </row>
    <row r="158" spans="2:18" x14ac:dyDescent="0.3">
      <c r="B158" s="2420"/>
      <c r="C158" s="2421"/>
      <c r="D158" s="2421"/>
      <c r="E158" s="1454"/>
      <c r="F158" s="1450"/>
      <c r="G158" s="1444"/>
      <c r="H158" s="1458"/>
      <c r="I158" s="1458"/>
      <c r="J158" s="1445"/>
      <c r="K158" s="322"/>
      <c r="L158" s="1766">
        <f t="shared" si="4"/>
        <v>0</v>
      </c>
      <c r="R158" s="430" t="str">
        <f t="shared" si="5"/>
        <v/>
      </c>
    </row>
    <row r="159" spans="2:18" ht="14.4" thickBot="1" x14ac:dyDescent="0.35">
      <c r="B159" s="2420"/>
      <c r="C159" s="2421"/>
      <c r="D159" s="2421"/>
      <c r="E159" s="1454"/>
      <c r="F159" s="1450"/>
      <c r="G159" s="1446"/>
      <c r="H159" s="1457"/>
      <c r="I159" s="1457"/>
      <c r="J159" s="1417"/>
      <c r="K159" s="1757"/>
      <c r="L159" s="1766">
        <f t="shared" si="4"/>
        <v>0</v>
      </c>
      <c r="R159" s="430" t="str">
        <f t="shared" si="5"/>
        <v/>
      </c>
    </row>
    <row r="160" spans="2:18" ht="14.4" thickBot="1" x14ac:dyDescent="0.35">
      <c r="B160" s="2422"/>
      <c r="C160" s="2423"/>
      <c r="D160" s="2423"/>
      <c r="E160" s="320"/>
      <c r="F160" s="320"/>
      <c r="G160" s="850">
        <f>IF(SUM(K138+K148+K160)=0,0,1)</f>
        <v>0</v>
      </c>
      <c r="H160" s="316" t="s">
        <v>1436</v>
      </c>
      <c r="I160" s="314"/>
      <c r="J160" s="314"/>
      <c r="K160" s="317">
        <f>SUM(L150:L159)</f>
        <v>0</v>
      </c>
    </row>
  </sheetData>
  <sheetProtection algorithmName="SHA-512" hashValue="7h3OP+HFxOxCjnDRDM+PD68NiptYgI7h/PS/6i6Vk8bAU+7qebjxlRIqotxqWgJhI3A/bBKMQfJtIO72r4L57A==" saltValue="F84rXDjzLqLGdQK6PVqTug==" spinCount="100000" sheet="1" objects="1" scenarios="1" selectLockedCells="1"/>
  <protectedRanges>
    <protectedRange sqref="B10:K20 B23:K29 B32:K41 B44:K53 B63:K73 B76:K82 B85:K94 B116:K126 B129:K135 B150:K159 B97:K106 B138:K147" name="Range2"/>
  </protectedRanges>
  <mergeCells count="132">
    <mergeCell ref="B63:D63"/>
    <mergeCell ref="B160:D160"/>
    <mergeCell ref="B159:D159"/>
    <mergeCell ref="B158:D158"/>
    <mergeCell ref="B157:D157"/>
    <mergeCell ref="B156:D156"/>
    <mergeCell ref="B155:D155"/>
    <mergeCell ref="B154:D154"/>
    <mergeCell ref="B153:D153"/>
    <mergeCell ref="B151:D151"/>
    <mergeCell ref="B150:D150"/>
    <mergeCell ref="B97:D97"/>
    <mergeCell ref="B98:D98"/>
    <mergeCell ref="B100:D100"/>
    <mergeCell ref="B101:D101"/>
    <mergeCell ref="B102:D102"/>
    <mergeCell ref="B103:D103"/>
    <mergeCell ref="B104:D104"/>
    <mergeCell ref="B105:D105"/>
    <mergeCell ref="B106:D106"/>
    <mergeCell ref="B107:D107"/>
    <mergeCell ref="B64:D64"/>
    <mergeCell ref="B66:D66"/>
    <mergeCell ref="B67:D67"/>
    <mergeCell ref="B21:D21"/>
    <mergeCell ref="B42:D42"/>
    <mergeCell ref="B28:D28"/>
    <mergeCell ref="B29:D29"/>
    <mergeCell ref="B30:D30"/>
    <mergeCell ref="B32:D32"/>
    <mergeCell ref="B25:D25"/>
    <mergeCell ref="B41:D41"/>
    <mergeCell ref="B27:D27"/>
    <mergeCell ref="B23:D23"/>
    <mergeCell ref="B24:D24"/>
    <mergeCell ref="B33:D33"/>
    <mergeCell ref="B34:D34"/>
    <mergeCell ref="B38:D38"/>
    <mergeCell ref="B39:D39"/>
    <mergeCell ref="B40:D40"/>
    <mergeCell ref="B26:D26"/>
    <mergeCell ref="B37:D37"/>
    <mergeCell ref="B35:D35"/>
    <mergeCell ref="B44:D44"/>
    <mergeCell ref="B45:D45"/>
    <mergeCell ref="B46:D46"/>
    <mergeCell ref="B47:D47"/>
    <mergeCell ref="B48:D48"/>
    <mergeCell ref="B49:D49"/>
    <mergeCell ref="B50:D50"/>
    <mergeCell ref="B51:D51"/>
    <mergeCell ref="B68:D68"/>
    <mergeCell ref="B69:D69"/>
    <mergeCell ref="B70:D70"/>
    <mergeCell ref="B71:D71"/>
    <mergeCell ref="B72:D72"/>
    <mergeCell ref="B73:D73"/>
    <mergeCell ref="B2:K2"/>
    <mergeCell ref="B3:K3"/>
    <mergeCell ref="B4:K4"/>
    <mergeCell ref="B10:D10"/>
    <mergeCell ref="B55:K55"/>
    <mergeCell ref="B56:K56"/>
    <mergeCell ref="B57:K57"/>
    <mergeCell ref="B20:D20"/>
    <mergeCell ref="B11:D11"/>
    <mergeCell ref="B12:D12"/>
    <mergeCell ref="B13:D13"/>
    <mergeCell ref="B14:D14"/>
    <mergeCell ref="B15:D15"/>
    <mergeCell ref="B16:D16"/>
    <mergeCell ref="B17:D17"/>
    <mergeCell ref="B18:D18"/>
    <mergeCell ref="B19:D19"/>
    <mergeCell ref="B36:D36"/>
    <mergeCell ref="B74:D74"/>
    <mergeCell ref="B76:D76"/>
    <mergeCell ref="B54:D54"/>
    <mergeCell ref="B52:D52"/>
    <mergeCell ref="B53:D53"/>
    <mergeCell ref="B95:D95"/>
    <mergeCell ref="B91:D91"/>
    <mergeCell ref="B92:D92"/>
    <mergeCell ref="B93:D93"/>
    <mergeCell ref="B94:D94"/>
    <mergeCell ref="B77:D77"/>
    <mergeCell ref="B78:D78"/>
    <mergeCell ref="B79:D79"/>
    <mergeCell ref="B80:D80"/>
    <mergeCell ref="B81:D81"/>
    <mergeCell ref="B82:D82"/>
    <mergeCell ref="B83:D83"/>
    <mergeCell ref="B85:D85"/>
    <mergeCell ref="B86:D86"/>
    <mergeCell ref="B90:D90"/>
    <mergeCell ref="B89:D89"/>
    <mergeCell ref="B88:D88"/>
    <mergeCell ref="B87:D87"/>
    <mergeCell ref="B65:D65"/>
    <mergeCell ref="B116:D116"/>
    <mergeCell ref="B117:D117"/>
    <mergeCell ref="B118:D118"/>
    <mergeCell ref="B108:K108"/>
    <mergeCell ref="B109:K109"/>
    <mergeCell ref="B110:K110"/>
    <mergeCell ref="B122:D122"/>
    <mergeCell ref="B123:D123"/>
    <mergeCell ref="B124:D124"/>
    <mergeCell ref="B125:D125"/>
    <mergeCell ref="B126:D126"/>
    <mergeCell ref="B119:D119"/>
    <mergeCell ref="B120:D120"/>
    <mergeCell ref="B121:D121"/>
    <mergeCell ref="B130:D130"/>
    <mergeCell ref="B131:D131"/>
    <mergeCell ref="B132:D132"/>
    <mergeCell ref="B133:D133"/>
    <mergeCell ref="B134:D134"/>
    <mergeCell ref="B127:D127"/>
    <mergeCell ref="B129:D129"/>
    <mergeCell ref="B148:D148"/>
    <mergeCell ref="B144:D144"/>
    <mergeCell ref="B145:D145"/>
    <mergeCell ref="B146:D146"/>
    <mergeCell ref="B147:D147"/>
    <mergeCell ref="B135:D135"/>
    <mergeCell ref="B136:D136"/>
    <mergeCell ref="B138:D138"/>
    <mergeCell ref="B143:D143"/>
    <mergeCell ref="B142:D142"/>
    <mergeCell ref="B140:D140"/>
    <mergeCell ref="B139:D139"/>
  </mergeCells>
  <dataValidations count="7">
    <dataValidation type="decimal" operator="lessThanOrEqual" allowBlank="1" showInputMessage="1" showErrorMessage="1" sqref="K159" xr:uid="{00000000-0002-0000-2200-000002000000}">
      <formula1>170</formula1>
    </dataValidation>
    <dataValidation type="decimal" operator="lessThanOrEqual" allowBlank="1" showInputMessage="1" showErrorMessage="1" sqref="K10:K20 K63:K73 K116:K126" xr:uid="{33432541-2B22-4752-A05F-19D6FC810E50}">
      <formula1>19</formula1>
    </dataValidation>
    <dataValidation type="decimal" operator="lessThanOrEqual" allowBlank="1" showInputMessage="1" showErrorMessage="1" sqref="K23:K29 K76:K82 K129:K135" xr:uid="{9041F37C-4B46-47F6-B123-E667A8F4ABB5}">
      <formula1>47</formula1>
    </dataValidation>
    <dataValidation type="decimal" operator="lessThanOrEqual" allowBlank="1" showInputMessage="1" showErrorMessage="1" sqref="K32:K41 K85:K94 K138:K147" xr:uid="{B5E8C5EC-0DE2-4EAD-9E15-9819D080F3B6}">
      <formula1>68</formula1>
    </dataValidation>
    <dataValidation type="decimal" operator="lessThanOrEqual" allowBlank="1" showInputMessage="1" showErrorMessage="1" sqref="K151:K158 K97:K106 K45:K53" xr:uid="{8E604706-E6E8-42E6-9D48-0842AFB87F2A}">
      <formula1>150</formula1>
    </dataValidation>
    <dataValidation type="decimal" operator="lessThanOrEqual" allowBlank="1" showErrorMessage="1" promptTitle="Overnight Hotel Stays" prompt="Enter actual receipt amount up to $150" sqref="K150" xr:uid="{A5F66070-DFA7-444C-A14A-AD194AD8E6BD}">
      <formula1>150</formula1>
    </dataValidation>
    <dataValidation type="decimal" operator="lessThanOrEqual" allowBlank="1" showInputMessage="1" showErrorMessage="1" promptTitle="Hotel Receipts" prompt="Enter actual amounts of Hotel receipts up to $150, or the average of the total amount, up to $150" sqref="K44" xr:uid="{D5C7259D-9FE9-47ED-8060-3F576099FB02}">
      <formula1>150</formula1>
    </dataValidation>
  </dataValidations>
  <printOptions horizontalCentered="1"/>
  <pageMargins left="0.25" right="0.25" top="0.75" bottom="0.5" header="0.3" footer="0.3"/>
  <pageSetup fitToHeight="3" orientation="portrait" r:id="rId1"/>
  <headerFooter>
    <oddHeader>&amp;RPR</oddHeader>
    <oddFooter>&amp;LADEM Form 32 DRAFT&amp;C2/2025&amp;R*M9 DRAFT</oddFooter>
  </headerFooter>
  <rowBreaks count="2" manualBreakCount="2">
    <brk id="54" min="1" max="10" man="1"/>
    <brk id="107"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4" r:id="rId4" name="Button 2">
              <controlPr defaultSize="0" print="0" autoFill="0" autoPict="0" macro="[0]!deletepreinputs">
                <anchor>
                  <from>
                    <xdr:col>0</xdr:col>
                    <xdr:colOff>137160</xdr:colOff>
                    <xdr:row>17</xdr:row>
                    <xdr:rowOff>137160</xdr:rowOff>
                  </from>
                  <to>
                    <xdr:col>0</xdr:col>
                    <xdr:colOff>746760</xdr:colOff>
                    <xdr:row>21</xdr:row>
                    <xdr:rowOff>60960</xdr:rowOff>
                  </to>
                </anchor>
              </controlPr>
            </control>
          </mc:Choice>
        </mc:AlternateContent>
        <mc:AlternateContent xmlns:mc="http://schemas.openxmlformats.org/markup-compatibility/2006">
          <mc:Choice Requires="x14">
            <control shapeId="38917" r:id="rId5" name="Button 5">
              <controlPr defaultSize="0" print="0" autoFill="0" autoPict="0" macro="[0]!nine">
                <anchor>
                  <from>
                    <xdr:col>0</xdr:col>
                    <xdr:colOff>114300</xdr:colOff>
                    <xdr:row>22</xdr:row>
                    <xdr:rowOff>45720</xdr:rowOff>
                  </from>
                  <to>
                    <xdr:col>0</xdr:col>
                    <xdr:colOff>769620</xdr:colOff>
                    <xdr:row>25</xdr:row>
                    <xdr:rowOff>114300</xdr:rowOff>
                  </to>
                </anchor>
              </controlPr>
            </control>
          </mc:Choice>
        </mc:AlternateContent>
        <mc:AlternateContent xmlns:mc="http://schemas.openxmlformats.org/markup-compatibility/2006">
          <mc:Choice Requires="x14">
            <control shapeId="38918" r:id="rId6" name="Button 6">
              <controlPr defaultSize="0" print="0" autoFill="0" autoPict="0" macro="[0]!twelve">
                <anchor moveWithCells="1">
                  <from>
                    <xdr:col>0</xdr:col>
                    <xdr:colOff>68580</xdr:colOff>
                    <xdr:row>26</xdr:row>
                    <xdr:rowOff>68580</xdr:rowOff>
                  </from>
                  <to>
                    <xdr:col>0</xdr:col>
                    <xdr:colOff>746760</xdr:colOff>
                    <xdr:row>29</xdr:row>
                    <xdr:rowOff>76200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
    <tabColor theme="0" tint="-4.9989318521683403E-2"/>
    <pageSetUpPr fitToPage="1"/>
  </sheetPr>
  <dimension ref="A1:L60"/>
  <sheetViews>
    <sheetView showGridLines="0" showRowColHeaders="0" zoomScale="110" zoomScaleNormal="110" zoomScaleSheetLayoutView="100" workbookViewId="0">
      <selection activeCell="B8" sqref="B8:J10"/>
    </sheetView>
  </sheetViews>
  <sheetFormatPr defaultColWidth="11.44140625" defaultRowHeight="13.2" x14ac:dyDescent="0.25"/>
  <cols>
    <col min="1" max="1" width="13.6640625" style="173" customWidth="1"/>
    <col min="2" max="2" width="19.6640625" style="194" customWidth="1"/>
    <col min="3" max="3" width="4.33203125" style="194" customWidth="1"/>
    <col min="4" max="4" width="3.109375" style="194" customWidth="1"/>
    <col min="5" max="5" width="21.5546875" style="194" customWidth="1"/>
    <col min="6" max="6" width="9" style="195" customWidth="1"/>
    <col min="7" max="7" width="8.109375" style="176" customWidth="1"/>
    <col min="8" max="8" width="8.88671875" style="175" customWidth="1"/>
    <col min="9" max="9" width="8.44140625" style="175" customWidth="1"/>
    <col min="10" max="10" width="8.6640625" style="105" customWidth="1"/>
    <col min="11" max="11" width="13.88671875" style="196" customWidth="1"/>
    <col min="12" max="16384" width="11.44140625" style="105"/>
  </cols>
  <sheetData>
    <row r="1" spans="2:11" ht="19.2" customHeight="1" thickBot="1" x14ac:dyDescent="0.3"/>
    <row r="2" spans="2:11" ht="18.75" customHeight="1" thickBot="1" x14ac:dyDescent="0.3">
      <c r="B2" s="723" t="s">
        <v>866</v>
      </c>
      <c r="C2" s="724"/>
      <c r="D2" s="724"/>
      <c r="E2" s="724"/>
      <c r="F2" s="724"/>
      <c r="G2" s="724"/>
      <c r="H2" s="724"/>
      <c r="I2" s="724"/>
      <c r="J2" s="724"/>
      <c r="K2" s="725"/>
    </row>
    <row r="3" spans="2:11" ht="19.2" customHeight="1" thickBot="1" x14ac:dyDescent="0.3">
      <c r="B3" s="723" t="s">
        <v>213</v>
      </c>
      <c r="C3" s="724"/>
      <c r="D3" s="724"/>
      <c r="E3" s="724"/>
      <c r="F3" s="724"/>
      <c r="G3" s="724"/>
      <c r="H3" s="724"/>
      <c r="I3" s="724"/>
      <c r="J3" s="724"/>
      <c r="K3" s="725"/>
    </row>
    <row r="4" spans="2:11" ht="15" customHeight="1" thickBot="1" x14ac:dyDescent="0.3">
      <c r="B4" s="738"/>
      <c r="C4" s="739"/>
      <c r="D4" s="739"/>
      <c r="E4" s="740" t="s">
        <v>314</v>
      </c>
      <c r="F4" s="739"/>
      <c r="G4" s="739"/>
      <c r="H4" s="741" t="s">
        <v>215</v>
      </c>
      <c r="I4" s="740" t="s">
        <v>840</v>
      </c>
      <c r="J4" s="742" t="s">
        <v>431</v>
      </c>
      <c r="K4" s="743" t="s">
        <v>885</v>
      </c>
    </row>
    <row r="5" spans="2:11" ht="15" customHeight="1" x14ac:dyDescent="0.25">
      <c r="B5" s="200" t="s">
        <v>1208</v>
      </c>
      <c r="C5" s="735"/>
      <c r="D5" s="735"/>
      <c r="E5" s="736"/>
      <c r="F5" s="735"/>
      <c r="G5" s="735"/>
      <c r="H5" s="737"/>
      <c r="I5" s="736"/>
      <c r="J5" s="744"/>
      <c r="K5" s="1208"/>
    </row>
    <row r="6" spans="2:11" ht="15" customHeight="1" x14ac:dyDescent="0.25">
      <c r="B6" s="200" t="s">
        <v>1306</v>
      </c>
      <c r="C6" s="163"/>
      <c r="D6" s="163"/>
      <c r="E6" s="163"/>
      <c r="F6" s="165"/>
      <c r="G6" s="199"/>
      <c r="H6" s="1207" t="str">
        <f>IF(J5="","",6*J5)</f>
        <v/>
      </c>
      <c r="I6" s="202" t="s">
        <v>682</v>
      </c>
      <c r="J6" s="707"/>
      <c r="K6" s="1209"/>
    </row>
    <row r="7" spans="2:11" ht="15" customHeight="1" x14ac:dyDescent="0.25">
      <c r="B7" s="804" t="s">
        <v>1367</v>
      </c>
      <c r="C7" s="719"/>
      <c r="D7" s="719"/>
      <c r="E7" s="198"/>
      <c r="F7" s="165"/>
      <c r="G7" s="167"/>
      <c r="H7" s="167"/>
      <c r="I7" s="167"/>
      <c r="J7" s="707"/>
      <c r="K7" s="1210" t="str">
        <f>IF(J7&lt;1,"",IF(J6&lt;1,"",((J6*2)*H6)*J7+J7*'Maximum Rates'!D59))</f>
        <v/>
      </c>
    </row>
    <row r="8" spans="2:11" ht="15" customHeight="1" x14ac:dyDescent="0.25">
      <c r="B8" s="154" t="s">
        <v>1307</v>
      </c>
      <c r="C8" s="163"/>
      <c r="D8" s="163"/>
      <c r="E8" s="198"/>
      <c r="F8" s="165"/>
      <c r="G8" s="199"/>
      <c r="H8" s="167"/>
      <c r="I8" s="167"/>
      <c r="J8" s="151"/>
      <c r="K8" s="1211"/>
    </row>
    <row r="9" spans="2:11" ht="15" customHeight="1" x14ac:dyDescent="0.25">
      <c r="B9" s="718" t="s">
        <v>1125</v>
      </c>
      <c r="C9" s="719"/>
      <c r="D9" s="719"/>
      <c r="E9" s="198"/>
      <c r="F9" s="165"/>
      <c r="G9" s="167"/>
      <c r="H9" s="1207" t="str">
        <f>IF(J5="","",3*J5)</f>
        <v/>
      </c>
      <c r="I9" s="202" t="s">
        <v>682</v>
      </c>
      <c r="J9" s="707"/>
      <c r="K9" s="1209"/>
    </row>
    <row r="10" spans="2:11" ht="15" customHeight="1" thickBot="1" x14ac:dyDescent="0.3">
      <c r="B10" s="718" t="s">
        <v>1367</v>
      </c>
      <c r="C10" s="719"/>
      <c r="D10" s="719"/>
      <c r="E10" s="198"/>
      <c r="F10" s="165"/>
      <c r="G10" s="167"/>
      <c r="H10" s="167"/>
      <c r="I10" s="167"/>
      <c r="J10" s="709"/>
      <c r="K10" s="1210" t="str">
        <f>IF(J10&lt;1,"",IF(J9&lt;1,"",((J9*2)*H9*J10+(J10*'Maximum Rates'!D59))))</f>
        <v/>
      </c>
    </row>
    <row r="11" spans="2:11" ht="15" customHeight="1" thickBot="1" x14ac:dyDescent="0.3">
      <c r="B11" s="720" t="s">
        <v>676</v>
      </c>
      <c r="C11" s="721"/>
      <c r="D11" s="721"/>
      <c r="E11" s="721"/>
      <c r="F11" s="721"/>
      <c r="G11" s="721"/>
      <c r="H11" s="721"/>
      <c r="I11" s="721"/>
      <c r="J11" s="721"/>
      <c r="K11" s="722"/>
    </row>
    <row r="12" spans="2:11" ht="15" customHeight="1" x14ac:dyDescent="0.25">
      <c r="B12" s="244" t="s">
        <v>1128</v>
      </c>
      <c r="C12" s="702"/>
      <c r="D12" s="702"/>
      <c r="E12" s="703"/>
      <c r="F12" s="245"/>
      <c r="G12" s="704"/>
      <c r="H12" s="1212">
        <f>'Maximum Rates'!D61</f>
        <v>205</v>
      </c>
      <c r="I12" s="705" t="s">
        <v>436</v>
      </c>
      <c r="J12" s="708"/>
      <c r="K12" s="1213" t="str">
        <f>IF(J12&lt;1,"",J12*H12)</f>
        <v/>
      </c>
    </row>
    <row r="13" spans="2:11" ht="15" customHeight="1" x14ac:dyDescent="0.25">
      <c r="B13" s="200" t="s">
        <v>1127</v>
      </c>
      <c r="C13" s="719"/>
      <c r="D13" s="719"/>
      <c r="E13" s="198"/>
      <c r="F13" s="165"/>
      <c r="G13" s="199"/>
      <c r="H13" s="1207">
        <f>'Maximum Rates'!D62</f>
        <v>242</v>
      </c>
      <c r="I13" s="202" t="s">
        <v>436</v>
      </c>
      <c r="J13" s="707"/>
      <c r="K13" s="1209" t="str">
        <f>IF(J13&lt;1,"",J13*H13)</f>
        <v/>
      </c>
    </row>
    <row r="14" spans="2:11" ht="15" customHeight="1" x14ac:dyDescent="0.25">
      <c r="B14" s="718" t="s">
        <v>798</v>
      </c>
      <c r="C14" s="230"/>
      <c r="D14" s="230"/>
      <c r="E14" s="198"/>
      <c r="F14" s="165"/>
      <c r="G14" s="167"/>
      <c r="H14" s="1154"/>
      <c r="I14" s="202" t="s">
        <v>436</v>
      </c>
      <c r="J14" s="707"/>
      <c r="K14" s="1209" t="str">
        <f>IF(J14&lt;1,"",J14*H14)</f>
        <v/>
      </c>
    </row>
    <row r="15" spans="2:11" ht="15" customHeight="1" x14ac:dyDescent="0.25">
      <c r="B15" s="200" t="s">
        <v>1172</v>
      </c>
      <c r="C15" s="163"/>
      <c r="D15" s="163"/>
      <c r="E15" s="163"/>
      <c r="F15" s="165"/>
      <c r="G15" s="199"/>
      <c r="H15" s="1154"/>
      <c r="I15" s="202" t="s">
        <v>436</v>
      </c>
      <c r="J15" s="716"/>
      <c r="K15" s="1209" t="str">
        <f>IF(J15&lt;1,"",J15*H15)</f>
        <v/>
      </c>
    </row>
    <row r="16" spans="2:11" ht="15" customHeight="1" thickBot="1" x14ac:dyDescent="0.3">
      <c r="B16" s="729" t="s">
        <v>1173</v>
      </c>
      <c r="C16" s="730"/>
      <c r="D16" s="730"/>
      <c r="E16" s="730"/>
      <c r="F16" s="731"/>
      <c r="G16" s="730"/>
      <c r="H16" s="1155"/>
      <c r="I16" s="732" t="s">
        <v>683</v>
      </c>
      <c r="J16" s="733"/>
      <c r="K16" s="1214" t="str">
        <f>IF(J16&lt;1,"",J16*H16)</f>
        <v/>
      </c>
    </row>
    <row r="17" spans="2:11" ht="15" customHeight="1" thickBot="1" x14ac:dyDescent="0.3">
      <c r="B17" s="727" t="s">
        <v>677</v>
      </c>
      <c r="C17" s="726"/>
      <c r="D17" s="726"/>
      <c r="E17" s="726"/>
      <c r="F17" s="726"/>
      <c r="G17" s="726"/>
      <c r="H17" s="726"/>
      <c r="I17" s="726"/>
      <c r="J17" s="726"/>
      <c r="K17" s="728"/>
    </row>
    <row r="18" spans="2:11" ht="15" customHeight="1" x14ac:dyDescent="0.25">
      <c r="B18" s="718" t="s">
        <v>1031</v>
      </c>
      <c r="C18" s="230"/>
      <c r="D18" s="230"/>
      <c r="E18" s="198"/>
      <c r="F18" s="165"/>
      <c r="G18" s="199"/>
      <c r="H18" s="1207">
        <f>'Maximum Rates'!D65</f>
        <v>65</v>
      </c>
      <c r="I18" s="202" t="s">
        <v>683</v>
      </c>
      <c r="J18" s="710"/>
      <c r="K18" s="1209" t="str">
        <f t="shared" ref="K18:K23" si="0">IF(J18&lt;1,"",J18*H18)</f>
        <v/>
      </c>
    </row>
    <row r="19" spans="2:11" ht="15" customHeight="1" x14ac:dyDescent="0.25">
      <c r="B19" s="718" t="s">
        <v>986</v>
      </c>
      <c r="C19" s="230"/>
      <c r="D19" s="230"/>
      <c r="E19" s="198"/>
      <c r="F19" s="165"/>
      <c r="G19" s="199"/>
      <c r="H19" s="1207">
        <f>'Maximum Rates'!D66</f>
        <v>70</v>
      </c>
      <c r="I19" s="202" t="s">
        <v>683</v>
      </c>
      <c r="J19" s="707"/>
      <c r="K19" s="1209" t="str">
        <f t="shared" si="0"/>
        <v/>
      </c>
    </row>
    <row r="20" spans="2:11" ht="15" customHeight="1" x14ac:dyDescent="0.25">
      <c r="B20" s="718" t="s">
        <v>987</v>
      </c>
      <c r="C20" s="230"/>
      <c r="D20" s="230"/>
      <c r="E20" s="198"/>
      <c r="F20" s="165"/>
      <c r="G20" s="199"/>
      <c r="H20" s="1207">
        <f>'Maximum Rates'!D72</f>
        <v>145</v>
      </c>
      <c r="I20" s="202" t="s">
        <v>683</v>
      </c>
      <c r="J20" s="707"/>
      <c r="K20" s="1209" t="str">
        <f t="shared" si="0"/>
        <v/>
      </c>
    </row>
    <row r="21" spans="2:11" ht="15" customHeight="1" x14ac:dyDescent="0.25">
      <c r="B21" s="200" t="s">
        <v>807</v>
      </c>
      <c r="C21" s="163"/>
      <c r="D21" s="163"/>
      <c r="E21" s="163"/>
      <c r="F21" s="165"/>
      <c r="G21" s="199"/>
      <c r="H21" s="1207">
        <f>'Maximum Rates'!D67</f>
        <v>30</v>
      </c>
      <c r="I21" s="202" t="s">
        <v>683</v>
      </c>
      <c r="J21" s="707"/>
      <c r="K21" s="1209" t="str">
        <f t="shared" si="0"/>
        <v/>
      </c>
    </row>
    <row r="22" spans="2:11" ht="15" customHeight="1" x14ac:dyDescent="0.25">
      <c r="B22" s="718" t="s">
        <v>808</v>
      </c>
      <c r="C22" s="164"/>
      <c r="D22" s="164"/>
      <c r="E22" s="164"/>
      <c r="F22" s="165"/>
      <c r="G22" s="199"/>
      <c r="H22" s="1207">
        <f>'Maximum Rates'!D68</f>
        <v>36</v>
      </c>
      <c r="I22" s="202" t="s">
        <v>683</v>
      </c>
      <c r="J22" s="707"/>
      <c r="K22" s="1209" t="str">
        <f t="shared" si="0"/>
        <v/>
      </c>
    </row>
    <row r="23" spans="2:11" ht="15" customHeight="1" thickBot="1" x14ac:dyDescent="0.3">
      <c r="B23" s="200" t="s">
        <v>1133</v>
      </c>
      <c r="C23" s="163"/>
      <c r="D23" s="164"/>
      <c r="E23" s="164"/>
      <c r="F23" s="166"/>
      <c r="G23" s="231"/>
      <c r="H23" s="1156"/>
      <c r="I23" s="202" t="s">
        <v>683</v>
      </c>
      <c r="J23" s="709"/>
      <c r="K23" s="1209" t="str">
        <f t="shared" si="0"/>
        <v/>
      </c>
    </row>
    <row r="24" spans="2:11" ht="15" customHeight="1" thickBot="1" x14ac:dyDescent="0.3">
      <c r="B24" s="720" t="s">
        <v>380</v>
      </c>
      <c r="C24" s="721"/>
      <c r="D24" s="721"/>
      <c r="E24" s="721"/>
      <c r="F24" s="721"/>
      <c r="G24" s="721"/>
      <c r="H24" s="721"/>
      <c r="I24" s="721"/>
      <c r="J24" s="721"/>
      <c r="K24" s="722"/>
    </row>
    <row r="25" spans="2:11" ht="15" customHeight="1" x14ac:dyDescent="0.25">
      <c r="B25" s="200" t="s">
        <v>799</v>
      </c>
      <c r="C25" s="163"/>
      <c r="D25" s="163"/>
      <c r="E25" s="163"/>
      <c r="F25" s="165"/>
      <c r="G25" s="199"/>
      <c r="H25" s="1207">
        <f>'Maximum Rates'!D69</f>
        <v>71</v>
      </c>
      <c r="I25" s="202" t="s">
        <v>683</v>
      </c>
      <c r="J25" s="710"/>
      <c r="K25" s="1209" t="str">
        <f>IF(J25&lt;1,"",J25*H25)</f>
        <v/>
      </c>
    </row>
    <row r="26" spans="2:11" ht="15" customHeight="1" x14ac:dyDescent="0.25">
      <c r="B26" s="200" t="s">
        <v>800</v>
      </c>
      <c r="C26" s="163"/>
      <c r="D26" s="163"/>
      <c r="E26" s="163"/>
      <c r="F26" s="165"/>
      <c r="G26" s="199"/>
      <c r="H26" s="1207">
        <f>'Maximum Rates'!D70</f>
        <v>77</v>
      </c>
      <c r="I26" s="202" t="s">
        <v>683</v>
      </c>
      <c r="J26" s="707"/>
      <c r="K26" s="1209" t="str">
        <f>IF(J26&lt;1,"",J26*H26)</f>
        <v/>
      </c>
    </row>
    <row r="27" spans="2:11" ht="15.6" x14ac:dyDescent="0.25">
      <c r="B27" s="200" t="s">
        <v>989</v>
      </c>
      <c r="C27" s="163"/>
      <c r="D27" s="163"/>
      <c r="E27" s="163"/>
      <c r="F27" s="165"/>
      <c r="G27" s="199"/>
      <c r="H27" s="1215">
        <f>'Maximum Rates'!D72</f>
        <v>145</v>
      </c>
      <c r="I27" s="335" t="s">
        <v>683</v>
      </c>
      <c r="J27" s="707"/>
      <c r="K27" s="1209" t="str">
        <f>IF(J27&lt;1,"",J27*H27)</f>
        <v/>
      </c>
    </row>
    <row r="28" spans="2:11" ht="9.75" hidden="1" customHeight="1" x14ac:dyDescent="0.25">
      <c r="B28" s="1421" t="s">
        <v>1370</v>
      </c>
      <c r="C28" s="1599"/>
      <c r="D28" s="1599"/>
      <c r="E28" s="1599"/>
      <c r="F28" s="1600"/>
      <c r="G28" s="1600"/>
      <c r="H28" s="1607">
        <f>IF(SUM(K12:K48)=0,0,IF(SUM(K12:K48)&lt;3000,3000,SUM(K12:K48)))</f>
        <v>0</v>
      </c>
      <c r="I28" s="1608">
        <f>IF(SUM(K12:K48)&lt;3000,0,SUM((K12:K48)))</f>
        <v>0</v>
      </c>
      <c r="J28" s="1601">
        <f>IF(AND(H28&gt;0,H28&lt;=3000),0,1)</f>
        <v>1</v>
      </c>
      <c r="K28" s="1609">
        <v>0</v>
      </c>
    </row>
    <row r="29" spans="2:11" x14ac:dyDescent="0.25">
      <c r="B29" s="200" t="s">
        <v>332</v>
      </c>
      <c r="C29" s="163"/>
      <c r="D29" s="163"/>
      <c r="E29" s="1157"/>
      <c r="F29" s="1151"/>
      <c r="G29" s="1152"/>
      <c r="H29" s="1153"/>
      <c r="I29" s="706" t="s">
        <v>395</v>
      </c>
      <c r="J29" s="707"/>
      <c r="K29" s="1209" t="str">
        <f>IF(J29&lt;1,"",J29*H29)</f>
        <v/>
      </c>
    </row>
    <row r="30" spans="2:11" ht="15" customHeight="1" thickBot="1" x14ac:dyDescent="0.3">
      <c r="B30" s="200" t="s">
        <v>688</v>
      </c>
      <c r="C30" s="163"/>
      <c r="D30" s="163"/>
      <c r="E30" s="163"/>
      <c r="F30" s="165"/>
      <c r="G30" s="199"/>
      <c r="H30" s="1207">
        <f>'Maximum Rates'!D71</f>
        <v>49</v>
      </c>
      <c r="I30" s="202" t="s">
        <v>683</v>
      </c>
      <c r="J30" s="711"/>
      <c r="K30" s="1209" t="str">
        <f>IF(J30&lt;1,"",J30*H30)</f>
        <v/>
      </c>
    </row>
    <row r="31" spans="2:11" ht="15" customHeight="1" thickBot="1" x14ac:dyDescent="0.3">
      <c r="B31" s="720" t="s">
        <v>768</v>
      </c>
      <c r="C31" s="721"/>
      <c r="D31" s="721"/>
      <c r="E31" s="721"/>
      <c r="F31" s="721"/>
      <c r="G31" s="721"/>
      <c r="H31" s="721"/>
      <c r="I31" s="721"/>
      <c r="J31" s="721"/>
      <c r="K31" s="722"/>
    </row>
    <row r="32" spans="2:11" ht="15" customHeight="1" x14ac:dyDescent="0.25">
      <c r="B32" s="200" t="s">
        <v>809</v>
      </c>
      <c r="C32" s="163"/>
      <c r="D32" s="163"/>
      <c r="E32" s="163"/>
      <c r="F32" s="165"/>
      <c r="G32" s="199"/>
      <c r="H32" s="1216">
        <f>'Maximum Rates'!D73</f>
        <v>2320</v>
      </c>
      <c r="I32" s="202" t="s">
        <v>395</v>
      </c>
      <c r="J32" s="710"/>
      <c r="K32" s="1209" t="str">
        <f>IF(J32&lt;1,"",J32*H32)</f>
        <v/>
      </c>
    </row>
    <row r="33" spans="2:12" ht="15" customHeight="1" thickBot="1" x14ac:dyDescent="0.3">
      <c r="B33" s="200" t="s">
        <v>680</v>
      </c>
      <c r="C33" s="163"/>
      <c r="D33" s="163"/>
      <c r="E33" s="163"/>
      <c r="F33" s="165"/>
      <c r="G33" s="199"/>
      <c r="H33" s="1207">
        <f>'Maximum Rates'!D74</f>
        <v>10</v>
      </c>
      <c r="I33" s="202" t="s">
        <v>176</v>
      </c>
      <c r="J33" s="707"/>
      <c r="K33" s="1209" t="str">
        <f>IF(J33&lt;1,"",J33*H33)</f>
        <v/>
      </c>
    </row>
    <row r="34" spans="2:12" ht="15" customHeight="1" thickBot="1" x14ac:dyDescent="0.3">
      <c r="B34" s="720" t="s">
        <v>769</v>
      </c>
      <c r="C34" s="721"/>
      <c r="D34" s="721"/>
      <c r="E34" s="721"/>
      <c r="F34" s="721"/>
      <c r="G34" s="721"/>
      <c r="H34" s="721"/>
      <c r="I34" s="721"/>
      <c r="J34" s="721"/>
      <c r="K34" s="722"/>
    </row>
    <row r="35" spans="2:12" ht="15" customHeight="1" x14ac:dyDescent="0.25">
      <c r="B35" s="1141" t="s">
        <v>1374</v>
      </c>
      <c r="C35" s="702"/>
      <c r="D35" s="702"/>
      <c r="E35" s="702"/>
      <c r="F35" s="245"/>
      <c r="G35" s="704"/>
      <c r="H35" s="1212">
        <f>'Maximum Rates'!D75</f>
        <v>115</v>
      </c>
      <c r="I35" s="1059" t="s">
        <v>1131</v>
      </c>
      <c r="J35" s="847"/>
      <c r="K35" s="1213" t="str">
        <f>IF(J35&lt;1,"",J35*H35)</f>
        <v/>
      </c>
    </row>
    <row r="36" spans="2:12" ht="15" customHeight="1" x14ac:dyDescent="0.25">
      <c r="B36" s="154" t="s">
        <v>1234</v>
      </c>
      <c r="C36" s="164"/>
      <c r="D36" s="164"/>
      <c r="E36" s="164"/>
      <c r="F36" s="165"/>
      <c r="G36" s="199"/>
      <c r="H36" s="1207">
        <f>'Maximum Rates'!D76</f>
        <v>35</v>
      </c>
      <c r="I36" s="202" t="s">
        <v>683</v>
      </c>
      <c r="J36" s="710"/>
      <c r="K36" s="1209" t="str">
        <f>IF(J36&lt;1,"",J36*H36)</f>
        <v/>
      </c>
    </row>
    <row r="37" spans="2:12" ht="15" customHeight="1" x14ac:dyDescent="0.25">
      <c r="B37" s="154" t="s">
        <v>1235</v>
      </c>
      <c r="C37" s="164"/>
      <c r="D37" s="164"/>
      <c r="E37" s="164"/>
      <c r="F37" s="165"/>
      <c r="G37" s="199"/>
      <c r="H37" s="1207">
        <f>'Maximum Rates'!D78</f>
        <v>45</v>
      </c>
      <c r="I37" s="202" t="s">
        <v>683</v>
      </c>
      <c r="J37" s="710"/>
      <c r="K37" s="1209" t="str">
        <f>IF(J37&lt;1,"",J37*H37)</f>
        <v/>
      </c>
    </row>
    <row r="38" spans="2:12" ht="15" customHeight="1" x14ac:dyDescent="0.25">
      <c r="B38" s="154" t="s">
        <v>678</v>
      </c>
      <c r="C38" s="164"/>
      <c r="D38" s="164"/>
      <c r="E38" s="164"/>
      <c r="F38" s="165"/>
      <c r="G38" s="199"/>
      <c r="H38" s="1207">
        <f>'Maximum Rates'!D77</f>
        <v>18</v>
      </c>
      <c r="I38" s="202" t="s">
        <v>683</v>
      </c>
      <c r="J38" s="707"/>
      <c r="K38" s="1209" t="str">
        <f>IF(J38&lt;1,"",J38*H38)</f>
        <v/>
      </c>
    </row>
    <row r="39" spans="2:12" ht="15" customHeight="1" x14ac:dyDescent="0.25">
      <c r="B39" s="718" t="s">
        <v>1369</v>
      </c>
      <c r="C39" s="164"/>
      <c r="D39" s="164"/>
      <c r="E39" s="164"/>
      <c r="F39" s="165"/>
      <c r="G39" s="199"/>
      <c r="H39" s="1217"/>
      <c r="I39" s="164"/>
      <c r="J39" s="151"/>
      <c r="K39" s="1211"/>
    </row>
    <row r="40" spans="2:12" ht="15" customHeight="1" x14ac:dyDescent="0.25">
      <c r="B40" s="718" t="s">
        <v>1223</v>
      </c>
      <c r="C40" s="164"/>
      <c r="D40" s="164"/>
      <c r="E40" s="164"/>
      <c r="F40" s="165"/>
      <c r="G40" s="199"/>
      <c r="H40" s="1207">
        <f>'Maximum Rates'!D63</f>
        <v>550</v>
      </c>
      <c r="I40" s="202" t="s">
        <v>414</v>
      </c>
      <c r="J40" s="707"/>
      <c r="K40" s="1209" t="str">
        <f t="shared" ref="K40:K48" si="1">IF(J40&lt;1,"",J40*H40)</f>
        <v/>
      </c>
    </row>
    <row r="41" spans="2:12" ht="15" customHeight="1" x14ac:dyDescent="0.25">
      <c r="B41" s="718" t="s">
        <v>1138</v>
      </c>
      <c r="C41" s="164"/>
      <c r="D41" s="164"/>
      <c r="E41" s="164"/>
      <c r="F41" s="165"/>
      <c r="G41" s="199"/>
      <c r="H41" s="1207">
        <f>'Maximum Rates'!D64</f>
        <v>250</v>
      </c>
      <c r="I41" s="202" t="s">
        <v>414</v>
      </c>
      <c r="J41" s="707"/>
      <c r="K41" s="1209" t="str">
        <f t="shared" si="1"/>
        <v/>
      </c>
    </row>
    <row r="42" spans="2:12" ht="15" customHeight="1" x14ac:dyDescent="0.25">
      <c r="B42" s="200" t="s">
        <v>82</v>
      </c>
      <c r="C42" s="163"/>
      <c r="D42" s="163"/>
      <c r="E42" s="163"/>
      <c r="F42" s="165"/>
      <c r="G42" s="199"/>
      <c r="H42" s="1207">
        <f>'Maximum Rates'!C19</f>
        <v>75</v>
      </c>
      <c r="I42" s="202" t="s">
        <v>171</v>
      </c>
      <c r="J42" s="707"/>
      <c r="K42" s="1209" t="str">
        <f t="shared" si="1"/>
        <v/>
      </c>
    </row>
    <row r="43" spans="2:12" ht="15" customHeight="1" x14ac:dyDescent="0.25">
      <c r="B43" s="200" t="s">
        <v>242</v>
      </c>
      <c r="C43" s="163"/>
      <c r="D43" s="163"/>
      <c r="E43" s="163"/>
      <c r="F43" s="165"/>
      <c r="G43" s="199"/>
      <c r="H43" s="1207">
        <f>'Maximum Rates'!D79</f>
        <v>58</v>
      </c>
      <c r="I43" s="202" t="s">
        <v>687</v>
      </c>
      <c r="J43" s="707"/>
      <c r="K43" s="1209" t="str">
        <f t="shared" si="1"/>
        <v/>
      </c>
    </row>
    <row r="44" spans="2:12" ht="15" customHeight="1" x14ac:dyDescent="0.25">
      <c r="B44" s="200" t="s">
        <v>1424</v>
      </c>
      <c r="C44" s="163"/>
      <c r="D44" s="163"/>
      <c r="E44" s="163"/>
      <c r="F44" s="165"/>
      <c r="G44" s="199"/>
      <c r="H44" s="1207">
        <f>'Maximum Rates'!D16</f>
        <v>150</v>
      </c>
      <c r="I44" s="202" t="s">
        <v>1422</v>
      </c>
      <c r="J44" s="707"/>
      <c r="K44" s="1209" t="str">
        <f t="shared" si="1"/>
        <v/>
      </c>
      <c r="L44" s="1562">
        <f>'Maximum Rates'!D15</f>
        <v>68</v>
      </c>
    </row>
    <row r="45" spans="2:12" ht="15" customHeight="1" x14ac:dyDescent="0.25">
      <c r="B45" s="200" t="s">
        <v>1426</v>
      </c>
      <c r="C45" s="163"/>
      <c r="D45" s="163"/>
      <c r="E45" s="163"/>
      <c r="F45" s="165"/>
      <c r="G45" s="199"/>
      <c r="H45" s="1207">
        <f>'Maximum Rates'!D15</f>
        <v>68</v>
      </c>
      <c r="I45" s="202" t="s">
        <v>395</v>
      </c>
      <c r="J45" s="707"/>
      <c r="K45" s="1209" t="str">
        <f t="shared" si="1"/>
        <v/>
      </c>
      <c r="L45" s="1562"/>
    </row>
    <row r="46" spans="2:12" ht="15" customHeight="1" x14ac:dyDescent="0.25">
      <c r="B46" s="200" t="s">
        <v>691</v>
      </c>
      <c r="C46" s="163"/>
      <c r="D46" s="163"/>
      <c r="E46" s="1157"/>
      <c r="F46" s="1158"/>
      <c r="G46" s="1158"/>
      <c r="H46" s="1153"/>
      <c r="I46" s="441"/>
      <c r="J46" s="707"/>
      <c r="K46" s="1209" t="str">
        <f t="shared" si="1"/>
        <v/>
      </c>
      <c r="L46" s="1562">
        <f>'Maximum Rates'!D16</f>
        <v>150</v>
      </c>
    </row>
    <row r="47" spans="2:12" ht="15" customHeight="1" x14ac:dyDescent="0.25">
      <c r="B47" s="200" t="s">
        <v>691</v>
      </c>
      <c r="C47" s="163"/>
      <c r="D47" s="163"/>
      <c r="E47" s="1157"/>
      <c r="F47" s="1158"/>
      <c r="G47" s="1159"/>
      <c r="H47" s="1715"/>
      <c r="I47" s="436"/>
      <c r="J47" s="707"/>
      <c r="K47" s="1209" t="str">
        <f t="shared" si="1"/>
        <v/>
      </c>
    </row>
    <row r="48" spans="2:12" ht="15" customHeight="1" x14ac:dyDescent="0.25">
      <c r="B48" s="200" t="s">
        <v>691</v>
      </c>
      <c r="C48" s="163"/>
      <c r="D48" s="163"/>
      <c r="E48" s="1157"/>
      <c r="F48" s="1158"/>
      <c r="G48" s="1159"/>
      <c r="H48" s="1153"/>
      <c r="I48" s="436"/>
      <c r="J48" s="707"/>
      <c r="K48" s="1209" t="str">
        <f t="shared" si="1"/>
        <v/>
      </c>
    </row>
    <row r="49" spans="1:11" s="249" customFormat="1" ht="15" customHeight="1" x14ac:dyDescent="0.2">
      <c r="A49" s="246"/>
      <c r="B49" s="200" t="s">
        <v>958</v>
      </c>
      <c r="C49" s="163"/>
      <c r="D49" s="163"/>
      <c r="E49" s="163"/>
      <c r="F49" s="165"/>
      <c r="G49" s="199"/>
      <c r="H49" s="167"/>
      <c r="I49" s="167"/>
      <c r="J49" s="673"/>
      <c r="K49" s="1209" t="str">
        <f>IF(J49="","",(SUM(K6:K10)+H28)*(J49))</f>
        <v/>
      </c>
    </row>
    <row r="50" spans="1:11" s="249" customFormat="1" ht="9" customHeight="1" x14ac:dyDescent="0.2">
      <c r="A50" s="246"/>
      <c r="B50" s="168"/>
      <c r="C50" s="169"/>
      <c r="D50" s="169"/>
      <c r="E50" s="169"/>
      <c r="F50" s="170"/>
      <c r="G50" s="171"/>
      <c r="H50" s="1611">
        <f>IF(K49="",0,K49)</f>
        <v>0</v>
      </c>
      <c r="I50" s="327">
        <v>0.05</v>
      </c>
      <c r="J50" s="1611"/>
      <c r="K50" s="1218"/>
    </row>
    <row r="51" spans="1:11" s="249" customFormat="1" ht="10.199999999999999" customHeight="1" x14ac:dyDescent="0.2">
      <c r="A51" s="246"/>
      <c r="B51" s="168" t="s">
        <v>1209</v>
      </c>
      <c r="C51" s="169"/>
      <c r="D51" s="169"/>
      <c r="E51" s="169"/>
      <c r="F51" s="170"/>
      <c r="G51" s="171"/>
      <c r="H51" s="247"/>
      <c r="I51" s="328">
        <v>0.1</v>
      </c>
      <c r="J51" s="248"/>
      <c r="K51" s="426"/>
    </row>
    <row r="52" spans="1:11" s="249" customFormat="1" ht="10.199999999999999" customHeight="1" x14ac:dyDescent="0.2">
      <c r="A52" s="246"/>
      <c r="B52" s="168" t="s">
        <v>690</v>
      </c>
      <c r="C52" s="169"/>
      <c r="D52" s="169"/>
      <c r="E52" s="169"/>
      <c r="F52" s="170"/>
      <c r="G52" s="171"/>
      <c r="H52" s="247"/>
      <c r="I52" s="247"/>
      <c r="J52" s="248"/>
      <c r="K52" s="426"/>
    </row>
    <row r="53" spans="1:11" s="249" customFormat="1" ht="10.199999999999999" customHeight="1" x14ac:dyDescent="0.2">
      <c r="A53" s="246"/>
      <c r="B53" s="168" t="s">
        <v>685</v>
      </c>
      <c r="C53" s="169"/>
      <c r="D53" s="169"/>
      <c r="E53" s="169"/>
      <c r="F53" s="170"/>
      <c r="G53" s="171"/>
      <c r="H53" s="247"/>
      <c r="I53" s="247"/>
      <c r="J53" s="248"/>
      <c r="K53" s="426"/>
    </row>
    <row r="54" spans="1:11" s="249" customFormat="1" ht="10.199999999999999" customHeight="1" x14ac:dyDescent="0.2">
      <c r="A54" s="246"/>
      <c r="B54" s="168" t="s">
        <v>1129</v>
      </c>
      <c r="C54" s="169"/>
      <c r="D54" s="169"/>
      <c r="E54" s="169"/>
      <c r="F54" s="170"/>
      <c r="G54" s="171"/>
      <c r="H54" s="247"/>
      <c r="I54" s="247"/>
      <c r="J54" s="248"/>
      <c r="K54" s="426"/>
    </row>
    <row r="55" spans="1:11" s="249" customFormat="1" ht="10.199999999999999" customHeight="1" x14ac:dyDescent="0.2">
      <c r="A55" s="246"/>
      <c r="B55" s="168" t="s">
        <v>686</v>
      </c>
      <c r="C55" s="169"/>
      <c r="D55" s="169"/>
      <c r="E55" s="169"/>
      <c r="F55" s="170"/>
      <c r="G55" s="171"/>
      <c r="H55" s="247"/>
      <c r="I55" s="247"/>
      <c r="J55" s="248"/>
      <c r="K55" s="426"/>
    </row>
    <row r="56" spans="1:11" s="249" customFormat="1" ht="10.199999999999999" customHeight="1" x14ac:dyDescent="0.2">
      <c r="A56" s="246"/>
      <c r="B56" s="168" t="s">
        <v>1224</v>
      </c>
      <c r="C56" s="169"/>
      <c r="D56" s="169"/>
      <c r="E56" s="169"/>
      <c r="F56" s="170"/>
      <c r="G56" s="171"/>
      <c r="H56" s="247"/>
      <c r="I56" s="247"/>
      <c r="J56" s="248"/>
      <c r="K56" s="426"/>
    </row>
    <row r="57" spans="1:11" s="249" customFormat="1" ht="10.199999999999999" customHeight="1" x14ac:dyDescent="0.2">
      <c r="A57" s="246"/>
      <c r="B57" s="168" t="s">
        <v>915</v>
      </c>
      <c r="C57" s="248"/>
      <c r="D57" s="169"/>
      <c r="E57" s="169"/>
      <c r="F57" s="170"/>
      <c r="G57" s="171"/>
      <c r="H57" s="247"/>
      <c r="I57" s="247"/>
      <c r="J57" s="248"/>
      <c r="K57" s="426"/>
    </row>
    <row r="58" spans="1:11" s="249" customFormat="1" ht="10.199999999999999" customHeight="1" x14ac:dyDescent="0.2">
      <c r="A58" s="246"/>
      <c r="B58" s="1060" t="s">
        <v>1280</v>
      </c>
      <c r="C58" s="169"/>
      <c r="D58" s="169"/>
      <c r="E58" s="169"/>
      <c r="F58" s="170"/>
      <c r="G58" s="171"/>
      <c r="H58" s="247"/>
      <c r="I58" s="247"/>
      <c r="J58" s="248"/>
      <c r="K58" s="426"/>
    </row>
    <row r="59" spans="1:11" s="249" customFormat="1" ht="10.199999999999999" customHeight="1" thickBot="1" x14ac:dyDescent="0.25">
      <c r="A59" s="246"/>
      <c r="B59" s="1060" t="s">
        <v>1372</v>
      </c>
      <c r="C59" s="169"/>
      <c r="D59" s="169"/>
      <c r="E59" s="169"/>
      <c r="F59" s="170"/>
      <c r="G59" s="171"/>
      <c r="H59" s="247"/>
      <c r="I59" s="247"/>
      <c r="J59" s="248"/>
      <c r="K59" s="426"/>
    </row>
    <row r="60" spans="1:11" ht="16.2" thickBot="1" x14ac:dyDescent="0.3">
      <c r="B60" s="201"/>
      <c r="C60" s="152"/>
      <c r="D60" s="152"/>
      <c r="E60" s="152"/>
      <c r="F60" s="256" t="s">
        <v>622</v>
      </c>
      <c r="G60" s="232"/>
      <c r="H60" s="233"/>
      <c r="I60" s="1598">
        <f>IF(SUM(K18:K27)=0,0,IF(SUM(K18:K27)&lt;3000,3000,(SUM(K18:K27))))</f>
        <v>0</v>
      </c>
      <c r="J60" s="2455">
        <f>SUM(K6:K10)+(H28+H50)</f>
        <v>0</v>
      </c>
      <c r="K60" s="2456"/>
    </row>
  </sheetData>
  <sheetProtection algorithmName="SHA-512" hashValue="0ZKfvryjTV0YlgvleAYA4l2GdcuDu7PjXJ1VimjRKg6ZJ8z3orHHR1Vg5dEjVR1UUcF/1QH3JWFsI1pX0oPDcg==" saltValue="ElgbclnRXG7bdE+0Kf0QqQ==" spinCount="100000" sheet="1" objects="1" scenarios="1" selectLockedCells="1"/>
  <protectedRanges>
    <protectedRange sqref="J5:J7 J9:J10 H14:H16 J12:J16 J18:J23 H23 J25:J30 E29:H29 J32:J33 J35:J38 J40:J49 E46:H48" name="Range3"/>
  </protectedRanges>
  <customSheetViews>
    <customSheetView guid="{BC429C65-53B8-4F97-88D2-74ECCD734800}" showGridLines="0" showRowCol="0" fitToPage="1">
      <selection activeCell="J5" sqref="J5"/>
      <pageMargins left="0.25" right="0.25" top="0.75" bottom="1" header="0" footer="0"/>
      <printOptions horizontalCentered="1"/>
      <pageSetup scale="96" orientation="portrait" r:id="rId1"/>
      <headerFooter alignWithMargins="0">
        <oddHeader>&amp;RCP</oddHeader>
        <oddFooter>&amp;LADEM Form 318 07/2012</oddFooter>
      </headerFooter>
    </customSheetView>
  </customSheetViews>
  <mergeCells count="1">
    <mergeCell ref="J60:K60"/>
  </mergeCells>
  <phoneticPr fontId="7" type="noConversion"/>
  <conditionalFormatting sqref="A28:XFD28">
    <cfRule type="expression" priority="1">
      <formula>$I60&lt;=3000</formula>
    </cfRule>
  </conditionalFormatting>
  <dataValidations count="8">
    <dataValidation type="list" operator="lessThanOrEqual" allowBlank="1" showErrorMessage="1" prompt="_x000a_" sqref="J49" xr:uid="{00000000-0002-0000-2300-000000000000}">
      <formula1>I50:I51</formula1>
    </dataValidation>
    <dataValidation allowBlank="1" showInputMessage="1" showErrorMessage="1" prompt="Quotes required for approval" sqref="H16" xr:uid="{00000000-0002-0000-2300-000001000000}"/>
    <dataValidation allowBlank="1" showInputMessage="1" showErrorMessage="1" prompt="Quotes required for approval_x000a_" sqref="H27:H28" xr:uid="{00000000-0002-0000-2300-000002000000}"/>
    <dataValidation type="whole" operator="lessThanOrEqual" allowBlank="1" showInputMessage="1" showErrorMessage="1" error="value must be equal to or less than 450" sqref="J9" xr:uid="{00000000-0002-0000-2300-000003000000}">
      <formula1>450</formula1>
    </dataValidation>
    <dataValidation type="whole" operator="lessThanOrEqual" allowBlank="1" showInputMessage="1" showErrorMessage="1" error="Value must be equal to or less than 450_x000a_" sqref="J6" xr:uid="{00000000-0002-0000-2300-000004000000}">
      <formula1>450</formula1>
    </dataValidation>
    <dataValidation type="whole" allowBlank="1" showInputMessage="1" showErrorMessage="1" sqref="G7" xr:uid="{00000000-0002-0000-2300-000005000000}">
      <formula1>0</formula1>
      <formula2>300</formula2>
    </dataValidation>
    <dataValidation allowBlank="1" showInputMessage="1" showErrorMessage="1" prompt="This value will adjust based on the current mileage rate entered above." sqref="H9 H6" xr:uid="{00000000-0002-0000-2300-000006000000}"/>
    <dataValidation type="decimal" operator="lessThan" allowBlank="1" showInputMessage="1" showErrorMessage="1" sqref="J5" xr:uid="{00000000-0002-0000-2300-000007000000}">
      <formula1>1</formula1>
    </dataValidation>
  </dataValidations>
  <printOptions horizontalCentered="1"/>
  <pageMargins left="0.5" right="0.5" top="0.75" bottom="0.5" header="0" footer="0"/>
  <pageSetup scale="88" orientation="portrait" r:id="rId2"/>
  <headerFooter alignWithMargins="0">
    <oddHeader>&amp;RCP</oddHeader>
    <oddFooter>&amp;LADEM Form 31 DRAFT&amp;C2/2025&amp;R*M9 DRAFT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8436" r:id="rId5" name="Button 4">
              <controlPr defaultSize="0" print="0" autoFill="0" autoPict="0" macro="[0]!one">
                <anchor>
                  <from>
                    <xdr:col>0</xdr:col>
                    <xdr:colOff>152400</xdr:colOff>
                    <xdr:row>11</xdr:row>
                    <xdr:rowOff>83820</xdr:rowOff>
                  </from>
                  <to>
                    <xdr:col>0</xdr:col>
                    <xdr:colOff>792480</xdr:colOff>
                    <xdr:row>14</xdr:row>
                    <xdr:rowOff>114300</xdr:rowOff>
                  </to>
                </anchor>
              </controlPr>
            </control>
          </mc:Choice>
        </mc:AlternateContent>
        <mc:AlternateContent xmlns:mc="http://schemas.openxmlformats.org/markup-compatibility/2006">
          <mc:Choice Requires="x14">
            <control shapeId="18437" r:id="rId6" name="Button 5">
              <controlPr defaultSize="0" print="0" autoFill="0" autoPict="0" macro="[0]!deletecpcinputs">
                <anchor>
                  <from>
                    <xdr:col>0</xdr:col>
                    <xdr:colOff>137160</xdr:colOff>
                    <xdr:row>15</xdr:row>
                    <xdr:rowOff>121920</xdr:rowOff>
                  </from>
                  <to>
                    <xdr:col>0</xdr:col>
                    <xdr:colOff>807720</xdr:colOff>
                    <xdr:row>19</xdr:row>
                    <xdr:rowOff>83820</xdr:rowOff>
                  </to>
                </anchor>
              </controlPr>
            </control>
          </mc:Choice>
        </mc:AlternateContent>
        <mc:AlternateContent xmlns:mc="http://schemas.openxmlformats.org/markup-compatibility/2006">
          <mc:Choice Requires="x14">
            <control shapeId="2" r:id="rId7" name="Button 8">
              <controlPr defaultSize="0" print="0" autoFill="0" autoPict="0" macro="[0]!eight">
                <anchor>
                  <from>
                    <xdr:col>0</xdr:col>
                    <xdr:colOff>137160</xdr:colOff>
                    <xdr:row>20</xdr:row>
                    <xdr:rowOff>99060</xdr:rowOff>
                  </from>
                  <to>
                    <xdr:col>0</xdr:col>
                    <xdr:colOff>807720</xdr:colOff>
                    <xdr:row>23</xdr:row>
                    <xdr:rowOff>99060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8">
    <tabColor theme="0" tint="-4.9989318521683403E-2"/>
  </sheetPr>
  <dimension ref="A1:L4021"/>
  <sheetViews>
    <sheetView showGridLines="0" showRowColHeaders="0" zoomScale="120" zoomScaleNormal="120" zoomScaleSheetLayoutView="100" workbookViewId="0">
      <pane xSplit="1" ySplit="6" topLeftCell="B7" activePane="bottomRight" state="frozen"/>
      <selection activeCell="B8" sqref="B8:J10"/>
      <selection pane="topRight" activeCell="B8" sqref="B8:J10"/>
      <selection pane="bottomLeft" activeCell="B8" sqref="B8:J10"/>
      <selection pane="bottomRight" activeCell="B8" sqref="B8:J10"/>
    </sheetView>
  </sheetViews>
  <sheetFormatPr defaultColWidth="11.44140625" defaultRowHeight="15" x14ac:dyDescent="0.25"/>
  <cols>
    <col min="1" max="1" width="13.6640625" style="203" customWidth="1"/>
    <col min="2" max="3" width="11.44140625" style="204" customWidth="1"/>
    <col min="4" max="4" width="14.33203125" style="204" customWidth="1"/>
    <col min="5" max="5" width="8.44140625" style="204" customWidth="1"/>
    <col min="6" max="6" width="6.33203125" style="204" customWidth="1"/>
    <col min="7" max="7" width="3.109375" style="690" customWidth="1"/>
    <col min="8" max="8" width="2.33203125" style="204" customWidth="1"/>
    <col min="9" max="9" width="7.6640625" style="204" customWidth="1"/>
    <col min="10" max="10" width="14" style="204" customWidth="1"/>
    <col min="11" max="11" width="15.33203125" style="204" customWidth="1"/>
    <col min="12" max="16384" width="11.44140625" style="204"/>
  </cols>
  <sheetData>
    <row r="1" spans="2:11" ht="19.2" customHeight="1" thickBot="1" x14ac:dyDescent="0.3"/>
    <row r="2" spans="2:11" ht="20.100000000000001" customHeight="1" thickBot="1" x14ac:dyDescent="0.3">
      <c r="B2" s="2332" t="s">
        <v>867</v>
      </c>
      <c r="C2" s="2333"/>
      <c r="D2" s="2333"/>
      <c r="E2" s="2333"/>
      <c r="F2" s="2333"/>
      <c r="G2" s="2333"/>
      <c r="H2" s="2333"/>
      <c r="I2" s="2333"/>
      <c r="J2" s="2333"/>
      <c r="K2" s="2334"/>
    </row>
    <row r="3" spans="2:11" ht="20.100000000000001" customHeight="1" x14ac:dyDescent="0.25">
      <c r="B3" s="2457" t="s">
        <v>761</v>
      </c>
      <c r="C3" s="2458"/>
      <c r="D3" s="2458"/>
      <c r="E3" s="2458"/>
      <c r="F3" s="2458"/>
      <c r="G3" s="2458"/>
      <c r="H3" s="2458"/>
      <c r="I3" s="2458"/>
      <c r="J3" s="2458"/>
      <c r="K3" s="2459"/>
    </row>
    <row r="4" spans="2:11" ht="20.100000000000001" customHeight="1" thickBot="1" x14ac:dyDescent="0.3">
      <c r="B4" s="2460" t="s">
        <v>760</v>
      </c>
      <c r="C4" s="2461"/>
      <c r="D4" s="2461"/>
      <c r="E4" s="2461"/>
      <c r="F4" s="2461"/>
      <c r="G4" s="2461"/>
      <c r="H4" s="2461"/>
      <c r="I4" s="2461"/>
      <c r="J4" s="2461"/>
      <c r="K4" s="2462"/>
    </row>
    <row r="5" spans="2:11" ht="20.100000000000001" customHeight="1" thickBot="1" x14ac:dyDescent="0.35">
      <c r="B5" s="2463" t="s">
        <v>519</v>
      </c>
      <c r="C5" s="2464"/>
      <c r="D5" s="2464"/>
      <c r="E5" s="2464"/>
      <c r="F5" s="2464"/>
      <c r="G5" s="2464"/>
      <c r="H5" s="2464"/>
      <c r="I5" s="2464"/>
      <c r="J5" s="2464"/>
      <c r="K5" s="2465"/>
    </row>
    <row r="6" spans="2:11" ht="27.6" customHeight="1" x14ac:dyDescent="0.25">
      <c r="B6" s="221"/>
      <c r="C6" s="222"/>
      <c r="D6" s="222"/>
      <c r="E6" s="222"/>
      <c r="F6" s="211"/>
      <c r="G6" s="211"/>
      <c r="H6" s="222"/>
      <c r="I6" s="948" t="s">
        <v>964</v>
      </c>
      <c r="J6" s="691" t="s">
        <v>965</v>
      </c>
      <c r="K6" s="692" t="s">
        <v>885</v>
      </c>
    </row>
    <row r="7" spans="2:11" ht="18" customHeight="1" x14ac:dyDescent="0.25">
      <c r="B7" s="333" t="s">
        <v>1210</v>
      </c>
      <c r="C7" s="334"/>
      <c r="D7" s="334"/>
      <c r="E7" s="113"/>
      <c r="F7" s="151"/>
      <c r="G7" s="151"/>
      <c r="H7" s="151"/>
      <c r="I7" s="673"/>
      <c r="J7" s="1160"/>
      <c r="K7" s="1200" t="str">
        <f>IF(J7="","",IF(I7="",J7,(J7*(1+I7))))</f>
        <v/>
      </c>
    </row>
    <row r="8" spans="2:11" ht="18" customHeight="1" x14ac:dyDescent="0.25">
      <c r="B8" s="333" t="s">
        <v>1211</v>
      </c>
      <c r="C8" s="334"/>
      <c r="D8" s="334"/>
      <c r="E8" s="113"/>
      <c r="F8" s="151"/>
      <c r="G8" s="151"/>
      <c r="H8" s="151"/>
      <c r="I8" s="673"/>
      <c r="J8" s="1160"/>
      <c r="K8" s="1200" t="str">
        <f t="shared" ref="K8:K55" si="0">IF(J8="","",IF(I8="",J8,(J8*(1+I8))))</f>
        <v/>
      </c>
    </row>
    <row r="9" spans="2:11" ht="18" customHeight="1" x14ac:dyDescent="0.25">
      <c r="B9" s="333" t="s">
        <v>1212</v>
      </c>
      <c r="C9" s="334"/>
      <c r="D9" s="334"/>
      <c r="E9" s="113"/>
      <c r="F9" s="151"/>
      <c r="G9" s="151"/>
      <c r="H9" s="151"/>
      <c r="I9" s="673"/>
      <c r="J9" s="1160"/>
      <c r="K9" s="1200" t="str">
        <f t="shared" si="0"/>
        <v/>
      </c>
    </row>
    <row r="10" spans="2:11" ht="18" customHeight="1" x14ac:dyDescent="0.25">
      <c r="B10" s="333" t="s">
        <v>1126</v>
      </c>
      <c r="C10" s="334"/>
      <c r="D10" s="334"/>
      <c r="E10" s="113"/>
      <c r="F10" s="151"/>
      <c r="G10" s="151"/>
      <c r="H10" s="151"/>
      <c r="I10" s="673"/>
      <c r="J10" s="1160"/>
      <c r="K10" s="1200" t="str">
        <f t="shared" si="0"/>
        <v/>
      </c>
    </row>
    <row r="11" spans="2:11" ht="18" customHeight="1" x14ac:dyDescent="0.25">
      <c r="B11" s="108" t="s">
        <v>792</v>
      </c>
      <c r="C11" s="116"/>
      <c r="D11" s="116"/>
      <c r="E11" s="116"/>
      <c r="F11" s="151"/>
      <c r="G11" s="151"/>
      <c r="H11" s="151"/>
      <c r="I11" s="673"/>
      <c r="J11" s="1160"/>
      <c r="K11" s="1200" t="str">
        <f t="shared" si="0"/>
        <v/>
      </c>
    </row>
    <row r="12" spans="2:11" ht="18" customHeight="1" x14ac:dyDescent="0.25">
      <c r="B12" s="108" t="s">
        <v>830</v>
      </c>
      <c r="C12" s="116"/>
      <c r="D12" s="116"/>
      <c r="E12" s="116"/>
      <c r="F12" s="151"/>
      <c r="G12" s="151"/>
      <c r="H12" s="151"/>
      <c r="I12" s="673"/>
      <c r="J12" s="1160"/>
      <c r="K12" s="1200" t="str">
        <f t="shared" si="0"/>
        <v/>
      </c>
    </row>
    <row r="13" spans="2:11" ht="18" customHeight="1" x14ac:dyDescent="0.25">
      <c r="B13" s="2310" t="s">
        <v>1014</v>
      </c>
      <c r="C13" s="2312"/>
      <c r="D13" s="2312"/>
      <c r="E13" s="2312"/>
      <c r="F13" s="151"/>
      <c r="G13" s="151"/>
      <c r="H13" s="151"/>
      <c r="I13" s="673"/>
      <c r="J13" s="1160"/>
      <c r="K13" s="1200" t="str">
        <f t="shared" si="0"/>
        <v/>
      </c>
    </row>
    <row r="14" spans="2:11" ht="18" customHeight="1" x14ac:dyDescent="0.25">
      <c r="B14" s="2310" t="s">
        <v>1015</v>
      </c>
      <c r="C14" s="2312"/>
      <c r="D14" s="2312"/>
      <c r="E14" s="2312"/>
      <c r="F14" s="151"/>
      <c r="G14" s="151"/>
      <c r="H14" s="151"/>
      <c r="I14" s="673"/>
      <c r="J14" s="1160"/>
      <c r="K14" s="1200" t="str">
        <f t="shared" si="0"/>
        <v/>
      </c>
    </row>
    <row r="15" spans="2:11" ht="18" customHeight="1" x14ac:dyDescent="0.25">
      <c r="B15" s="2310" t="s">
        <v>618</v>
      </c>
      <c r="C15" s="2312"/>
      <c r="D15" s="2312"/>
      <c r="E15" s="2312"/>
      <c r="F15" s="151"/>
      <c r="G15" s="151"/>
      <c r="H15" s="151"/>
      <c r="I15" s="673"/>
      <c r="J15" s="1160"/>
      <c r="K15" s="1200" t="str">
        <f t="shared" si="0"/>
        <v/>
      </c>
    </row>
    <row r="16" spans="2:11" ht="18" customHeight="1" x14ac:dyDescent="0.25">
      <c r="B16" s="2310" t="s">
        <v>243</v>
      </c>
      <c r="C16" s="2312"/>
      <c r="D16" s="2312"/>
      <c r="E16" s="2312"/>
      <c r="F16" s="151"/>
      <c r="G16" s="151"/>
      <c r="H16" s="151"/>
      <c r="I16" s="673"/>
      <c r="J16" s="1160"/>
      <c r="K16" s="1200" t="str">
        <f t="shared" si="0"/>
        <v/>
      </c>
    </row>
    <row r="17" spans="2:11" ht="18" customHeight="1" x14ac:dyDescent="0.25">
      <c r="B17" s="108" t="s">
        <v>882</v>
      </c>
      <c r="C17" s="116"/>
      <c r="D17" s="116"/>
      <c r="E17" s="116"/>
      <c r="F17" s="151"/>
      <c r="G17" s="151"/>
      <c r="H17" s="151"/>
      <c r="I17" s="673"/>
      <c r="J17" s="1160"/>
      <c r="K17" s="1200" t="str">
        <f t="shared" si="0"/>
        <v/>
      </c>
    </row>
    <row r="18" spans="2:11" ht="18" customHeight="1" x14ac:dyDescent="0.25">
      <c r="B18" s="108" t="s">
        <v>883</v>
      </c>
      <c r="C18" s="116"/>
      <c r="D18" s="116"/>
      <c r="E18" s="116"/>
      <c r="F18" s="151"/>
      <c r="G18" s="151"/>
      <c r="H18" s="151"/>
      <c r="I18" s="673"/>
      <c r="J18" s="1160"/>
      <c r="K18" s="1200" t="str">
        <f t="shared" si="0"/>
        <v/>
      </c>
    </row>
    <row r="19" spans="2:11" ht="18" customHeight="1" x14ac:dyDescent="0.25">
      <c r="B19" s="108" t="s">
        <v>884</v>
      </c>
      <c r="C19" s="116"/>
      <c r="D19" s="116"/>
      <c r="E19" s="116"/>
      <c r="F19" s="151"/>
      <c r="G19" s="151"/>
      <c r="H19" s="151"/>
      <c r="I19" s="673"/>
      <c r="J19" s="1160"/>
      <c r="K19" s="1200" t="str">
        <f t="shared" si="0"/>
        <v/>
      </c>
    </row>
    <row r="20" spans="2:11" ht="18" customHeight="1" x14ac:dyDescent="0.25">
      <c r="B20" s="2310" t="s">
        <v>86</v>
      </c>
      <c r="C20" s="2312"/>
      <c r="D20" s="2312"/>
      <c r="E20" s="2312"/>
      <c r="F20" s="151"/>
      <c r="G20" s="151"/>
      <c r="H20" s="151"/>
      <c r="I20" s="673"/>
      <c r="J20" s="1160"/>
      <c r="K20" s="1200" t="str">
        <f t="shared" si="0"/>
        <v/>
      </c>
    </row>
    <row r="21" spans="2:11" ht="18" customHeight="1" x14ac:dyDescent="0.25">
      <c r="B21" s="2310" t="s">
        <v>220</v>
      </c>
      <c r="C21" s="2312"/>
      <c r="D21" s="2312"/>
      <c r="E21" s="2312"/>
      <c r="F21" s="151"/>
      <c r="G21" s="151"/>
      <c r="H21" s="151"/>
      <c r="I21" s="673"/>
      <c r="J21" s="1160"/>
      <c r="K21" s="1200" t="str">
        <f t="shared" si="0"/>
        <v/>
      </c>
    </row>
    <row r="22" spans="2:11" ht="18" customHeight="1" x14ac:dyDescent="0.25">
      <c r="B22" s="2310" t="s">
        <v>793</v>
      </c>
      <c r="C22" s="2312"/>
      <c r="D22" s="2312"/>
      <c r="E22" s="2312"/>
      <c r="F22" s="151"/>
      <c r="G22" s="151"/>
      <c r="H22" s="151"/>
      <c r="I22" s="673"/>
      <c r="J22" s="1160"/>
      <c r="K22" s="1200" t="str">
        <f t="shared" si="0"/>
        <v/>
      </c>
    </row>
    <row r="23" spans="2:11" ht="18" customHeight="1" x14ac:dyDescent="0.25">
      <c r="B23" s="2310" t="s">
        <v>518</v>
      </c>
      <c r="C23" s="2312"/>
      <c r="D23" s="2312"/>
      <c r="E23" s="2312"/>
      <c r="F23" s="151"/>
      <c r="G23" s="151"/>
      <c r="H23" s="151"/>
      <c r="I23" s="673"/>
      <c r="J23" s="1160"/>
      <c r="K23" s="1200" t="str">
        <f t="shared" si="0"/>
        <v/>
      </c>
    </row>
    <row r="24" spans="2:11" ht="18" customHeight="1" x14ac:dyDescent="0.25">
      <c r="B24" s="2310" t="s">
        <v>221</v>
      </c>
      <c r="C24" s="2312"/>
      <c r="D24" s="2312"/>
      <c r="E24" s="2312"/>
      <c r="F24" s="151"/>
      <c r="G24" s="151"/>
      <c r="H24" s="151"/>
      <c r="I24" s="673"/>
      <c r="J24" s="1160"/>
      <c r="K24" s="1200" t="str">
        <f t="shared" si="0"/>
        <v/>
      </c>
    </row>
    <row r="25" spans="2:11" ht="18" customHeight="1" x14ac:dyDescent="0.25">
      <c r="B25" s="2310" t="s">
        <v>609</v>
      </c>
      <c r="C25" s="2312"/>
      <c r="D25" s="2312"/>
      <c r="E25" s="2312"/>
      <c r="F25" s="151"/>
      <c r="G25" s="151"/>
      <c r="H25" s="151"/>
      <c r="I25" s="673"/>
      <c r="J25" s="1160"/>
      <c r="K25" s="1200" t="str">
        <f t="shared" si="0"/>
        <v/>
      </c>
    </row>
    <row r="26" spans="2:11" ht="18" customHeight="1" x14ac:dyDescent="0.25">
      <c r="B26" s="108" t="s">
        <v>222</v>
      </c>
      <c r="C26" s="683"/>
      <c r="D26" s="684"/>
      <c r="E26" s="684"/>
      <c r="F26" s="685"/>
      <c r="G26" s="151"/>
      <c r="H26" s="151"/>
      <c r="I26" s="673"/>
      <c r="J26" s="1160"/>
      <c r="K26" s="1200" t="str">
        <f t="shared" si="0"/>
        <v/>
      </c>
    </row>
    <row r="27" spans="2:11" ht="18" customHeight="1" x14ac:dyDescent="0.25">
      <c r="B27" s="693" t="s">
        <v>222</v>
      </c>
      <c r="C27" s="683"/>
      <c r="D27" s="684"/>
      <c r="E27" s="684"/>
      <c r="F27" s="685"/>
      <c r="G27" s="151"/>
      <c r="H27" s="151"/>
      <c r="I27" s="673"/>
      <c r="J27" s="1160"/>
      <c r="K27" s="1200" t="str">
        <f t="shared" si="0"/>
        <v/>
      </c>
    </row>
    <row r="28" spans="2:11" ht="18" customHeight="1" x14ac:dyDescent="0.25">
      <c r="B28" s="693" t="s">
        <v>222</v>
      </c>
      <c r="C28" s="683"/>
      <c r="D28" s="684"/>
      <c r="E28" s="684"/>
      <c r="F28" s="685"/>
      <c r="G28" s="151"/>
      <c r="H28" s="151"/>
      <c r="I28" s="673"/>
      <c r="J28" s="1160"/>
      <c r="K28" s="1200" t="str">
        <f t="shared" si="0"/>
        <v/>
      </c>
    </row>
    <row r="29" spans="2:11" ht="18" customHeight="1" x14ac:dyDescent="0.25">
      <c r="B29" s="693" t="s">
        <v>222</v>
      </c>
      <c r="C29" s="683"/>
      <c r="D29" s="684"/>
      <c r="E29" s="684"/>
      <c r="F29" s="685"/>
      <c r="G29" s="151"/>
      <c r="H29" s="151"/>
      <c r="I29" s="673"/>
      <c r="J29" s="1160"/>
      <c r="K29" s="1200" t="str">
        <f t="shared" si="0"/>
        <v/>
      </c>
    </row>
    <row r="30" spans="2:11" ht="18" customHeight="1" x14ac:dyDescent="0.25">
      <c r="B30" s="2310" t="s">
        <v>62</v>
      </c>
      <c r="C30" s="2312"/>
      <c r="D30" s="2312"/>
      <c r="E30" s="2312"/>
      <c r="F30" s="151"/>
      <c r="G30" s="151"/>
      <c r="H30" s="151"/>
      <c r="I30" s="673"/>
      <c r="J30" s="1160"/>
      <c r="K30" s="1200" t="str">
        <f t="shared" si="0"/>
        <v/>
      </c>
    </row>
    <row r="31" spans="2:11" ht="18" customHeight="1" x14ac:dyDescent="0.25">
      <c r="B31" s="2310" t="s">
        <v>624</v>
      </c>
      <c r="C31" s="2312"/>
      <c r="D31" s="2312"/>
      <c r="E31" s="2312"/>
      <c r="F31" s="151"/>
      <c r="G31" s="151"/>
      <c r="H31" s="151"/>
      <c r="I31" s="673"/>
      <c r="J31" s="1160"/>
      <c r="K31" s="1200" t="str">
        <f t="shared" si="0"/>
        <v/>
      </c>
    </row>
    <row r="32" spans="2:11" ht="18" customHeight="1" x14ac:dyDescent="0.25">
      <c r="B32" s="2310" t="s">
        <v>982</v>
      </c>
      <c r="C32" s="2312"/>
      <c r="D32" s="2312"/>
      <c r="E32" s="2312"/>
      <c r="F32" s="151"/>
      <c r="G32" s="151"/>
      <c r="H32" s="151"/>
      <c r="I32" s="673"/>
      <c r="J32" s="1160"/>
      <c r="K32" s="1200" t="str">
        <f t="shared" si="0"/>
        <v/>
      </c>
    </row>
    <row r="33" spans="2:12" ht="18" customHeight="1" x14ac:dyDescent="0.25">
      <c r="B33" s="333" t="s">
        <v>794</v>
      </c>
      <c r="C33" s="334"/>
      <c r="D33" s="334"/>
      <c r="E33" s="334"/>
      <c r="F33" s="151"/>
      <c r="G33" s="151"/>
      <c r="H33" s="151"/>
      <c r="I33" s="673"/>
      <c r="J33" s="1160"/>
      <c r="K33" s="1200" t="str">
        <f t="shared" si="0"/>
        <v/>
      </c>
    </row>
    <row r="34" spans="2:12" ht="18" customHeight="1" x14ac:dyDescent="0.25">
      <c r="B34" s="333" t="s">
        <v>829</v>
      </c>
      <c r="C34" s="334"/>
      <c r="D34" s="334"/>
      <c r="E34" s="334"/>
      <c r="F34" s="151"/>
      <c r="G34" s="151"/>
      <c r="H34" s="151"/>
      <c r="I34" s="673"/>
      <c r="J34" s="1160"/>
      <c r="K34" s="1200" t="str">
        <f t="shared" si="0"/>
        <v/>
      </c>
    </row>
    <row r="35" spans="2:12" ht="18" customHeight="1" x14ac:dyDescent="0.25">
      <c r="B35" s="333" t="s">
        <v>1213</v>
      </c>
      <c r="C35" s="334"/>
      <c r="D35" s="334"/>
      <c r="E35" s="334"/>
      <c r="F35" s="151"/>
      <c r="G35" s="151"/>
      <c r="H35" s="151"/>
      <c r="I35" s="673"/>
      <c r="J35" s="1160"/>
      <c r="K35" s="1200" t="str">
        <f t="shared" si="0"/>
        <v/>
      </c>
    </row>
    <row r="36" spans="2:12" ht="18" customHeight="1" x14ac:dyDescent="0.25">
      <c r="B36" s="333" t="s">
        <v>1123</v>
      </c>
      <c r="C36" s="334"/>
      <c r="D36" s="686"/>
      <c r="E36" s="687"/>
      <c r="F36" s="687"/>
      <c r="G36" s="687"/>
      <c r="H36" s="688"/>
      <c r="I36" s="674"/>
      <c r="J36" s="1160"/>
      <c r="K36" s="1200" t="str">
        <f t="shared" si="0"/>
        <v/>
      </c>
    </row>
    <row r="37" spans="2:12" ht="18" customHeight="1" x14ac:dyDescent="0.25">
      <c r="B37" s="333" t="s">
        <v>1022</v>
      </c>
      <c r="C37" s="334"/>
      <c r="D37" s="334"/>
      <c r="E37" s="334"/>
      <c r="F37" s="151"/>
      <c r="G37" s="151"/>
      <c r="H37" s="151"/>
      <c r="I37" s="673"/>
      <c r="J37" s="1160"/>
      <c r="K37" s="1200" t="str">
        <f t="shared" si="0"/>
        <v/>
      </c>
    </row>
    <row r="38" spans="2:12" ht="18" customHeight="1" x14ac:dyDescent="0.25">
      <c r="B38" s="333" t="s">
        <v>770</v>
      </c>
      <c r="C38" s="334"/>
      <c r="D38" s="334"/>
      <c r="E38" s="334"/>
      <c r="F38" s="151"/>
      <c r="G38" s="151"/>
      <c r="H38" s="151"/>
      <c r="I38" s="673"/>
      <c r="J38" s="1160"/>
      <c r="K38" s="1200" t="str">
        <f t="shared" si="0"/>
        <v/>
      </c>
    </row>
    <row r="39" spans="2:12" ht="18" customHeight="1" x14ac:dyDescent="0.25">
      <c r="B39" s="333" t="s">
        <v>770</v>
      </c>
      <c r="C39" s="334"/>
      <c r="D39" s="334"/>
      <c r="E39" s="334"/>
      <c r="F39" s="151"/>
      <c r="G39" s="151"/>
      <c r="H39" s="151"/>
      <c r="I39" s="673"/>
      <c r="J39" s="1160"/>
      <c r="K39" s="1200" t="str">
        <f t="shared" si="0"/>
        <v/>
      </c>
      <c r="L39" s="694"/>
    </row>
    <row r="40" spans="2:12" ht="18" customHeight="1" x14ac:dyDescent="0.25">
      <c r="B40" s="333" t="s">
        <v>770</v>
      </c>
      <c r="C40" s="334"/>
      <c r="D40" s="334"/>
      <c r="E40" s="334"/>
      <c r="F40" s="151"/>
      <c r="G40" s="151"/>
      <c r="H40" s="151"/>
      <c r="I40" s="673"/>
      <c r="J40" s="1160"/>
      <c r="K40" s="1200" t="str">
        <f t="shared" si="0"/>
        <v/>
      </c>
      <c r="L40" s="694"/>
    </row>
    <row r="41" spans="2:12" ht="18" customHeight="1" x14ac:dyDescent="0.25">
      <c r="B41" s="2310" t="s">
        <v>770</v>
      </c>
      <c r="C41" s="2312"/>
      <c r="D41" s="2312"/>
      <c r="E41" s="2312"/>
      <c r="F41" s="151"/>
      <c r="G41" s="151"/>
      <c r="H41" s="151"/>
      <c r="I41" s="673"/>
      <c r="J41" s="1160"/>
      <c r="K41" s="1200" t="str">
        <f t="shared" si="0"/>
        <v/>
      </c>
      <c r="L41" s="694"/>
    </row>
    <row r="42" spans="2:12" ht="18" customHeight="1" thickBot="1" x14ac:dyDescent="0.3">
      <c r="B42" s="2466" t="s">
        <v>770</v>
      </c>
      <c r="C42" s="2467"/>
      <c r="D42" s="2467"/>
      <c r="E42" s="2467"/>
      <c r="F42" s="157"/>
      <c r="G42" s="157"/>
      <c r="H42" s="157"/>
      <c r="I42" s="698"/>
      <c r="J42" s="1161"/>
      <c r="K42" s="1219" t="str">
        <f t="shared" si="0"/>
        <v/>
      </c>
      <c r="L42" s="694"/>
    </row>
    <row r="43" spans="2:12" ht="18" customHeight="1" x14ac:dyDescent="0.25">
      <c r="B43" s="851" t="s">
        <v>1222</v>
      </c>
      <c r="C43" s="852"/>
      <c r="D43" s="699"/>
      <c r="E43" s="700"/>
      <c r="F43" s="700"/>
      <c r="G43" s="700"/>
      <c r="H43" s="701"/>
      <c r="I43" s="853"/>
      <c r="J43" s="1162"/>
      <c r="K43" s="1220" t="str">
        <f t="shared" si="0"/>
        <v/>
      </c>
      <c r="L43" s="694"/>
    </row>
    <row r="44" spans="2:12" ht="18" customHeight="1" x14ac:dyDescent="0.25">
      <c r="B44" s="333" t="s">
        <v>1222</v>
      </c>
      <c r="C44" s="116"/>
      <c r="D44" s="686"/>
      <c r="E44" s="687"/>
      <c r="F44" s="687"/>
      <c r="G44" s="687"/>
      <c r="H44" s="688"/>
      <c r="I44" s="673"/>
      <c r="J44" s="1160"/>
      <c r="K44" s="1200" t="str">
        <f t="shared" si="0"/>
        <v/>
      </c>
      <c r="L44" s="694"/>
    </row>
    <row r="45" spans="2:12" ht="18" customHeight="1" x14ac:dyDescent="0.25">
      <c r="B45" s="333" t="s">
        <v>1222</v>
      </c>
      <c r="C45" s="116"/>
      <c r="D45" s="686"/>
      <c r="E45" s="687"/>
      <c r="F45" s="687"/>
      <c r="G45" s="687"/>
      <c r="H45" s="688"/>
      <c r="I45" s="673"/>
      <c r="J45" s="1160"/>
      <c r="K45" s="1200" t="str">
        <f t="shared" si="0"/>
        <v/>
      </c>
      <c r="L45" s="694"/>
    </row>
    <row r="46" spans="2:12" ht="18" customHeight="1" x14ac:dyDescent="0.25">
      <c r="B46" s="333" t="s">
        <v>1222</v>
      </c>
      <c r="C46" s="334"/>
      <c r="D46" s="686"/>
      <c r="E46" s="687"/>
      <c r="F46" s="687"/>
      <c r="G46" s="687"/>
      <c r="H46" s="688"/>
      <c r="I46" s="673"/>
      <c r="J46" s="1160"/>
      <c r="K46" s="1200" t="str">
        <f t="shared" si="0"/>
        <v/>
      </c>
      <c r="L46" s="694"/>
    </row>
    <row r="47" spans="2:12" ht="18" customHeight="1" x14ac:dyDescent="0.25">
      <c r="B47" s="333" t="s">
        <v>1222</v>
      </c>
      <c r="C47" s="116"/>
      <c r="D47" s="686"/>
      <c r="E47" s="687"/>
      <c r="F47" s="687"/>
      <c r="G47" s="687"/>
      <c r="H47" s="688"/>
      <c r="I47" s="673"/>
      <c r="J47" s="1160"/>
      <c r="K47" s="1200" t="str">
        <f t="shared" si="0"/>
        <v/>
      </c>
      <c r="L47" s="694"/>
    </row>
    <row r="48" spans="2:12" ht="18" customHeight="1" x14ac:dyDescent="0.25">
      <c r="B48" s="333" t="s">
        <v>1222</v>
      </c>
      <c r="C48" s="116"/>
      <c r="D48" s="686"/>
      <c r="E48" s="687"/>
      <c r="F48" s="687"/>
      <c r="G48" s="687"/>
      <c r="H48" s="688"/>
      <c r="I48" s="673"/>
      <c r="J48" s="1160"/>
      <c r="K48" s="1200" t="str">
        <f t="shared" si="0"/>
        <v/>
      </c>
      <c r="L48" s="694"/>
    </row>
    <row r="49" spans="2:12" ht="18" customHeight="1" x14ac:dyDescent="0.25">
      <c r="B49" s="333" t="s">
        <v>1222</v>
      </c>
      <c r="C49" s="334"/>
      <c r="D49" s="686"/>
      <c r="E49" s="687"/>
      <c r="F49" s="687"/>
      <c r="G49" s="687"/>
      <c r="H49" s="688"/>
      <c r="I49" s="673"/>
      <c r="J49" s="1160"/>
      <c r="K49" s="1200" t="str">
        <f t="shared" si="0"/>
        <v/>
      </c>
      <c r="L49" s="694"/>
    </row>
    <row r="50" spans="2:12" ht="18" customHeight="1" x14ac:dyDescent="0.25">
      <c r="B50" s="333" t="s">
        <v>1222</v>
      </c>
      <c r="C50" s="116"/>
      <c r="D50" s="686"/>
      <c r="E50" s="687"/>
      <c r="F50" s="687"/>
      <c r="G50" s="687"/>
      <c r="H50" s="688"/>
      <c r="I50" s="673"/>
      <c r="J50" s="1160"/>
      <c r="K50" s="1200" t="str">
        <f t="shared" si="0"/>
        <v/>
      </c>
      <c r="L50" s="694"/>
    </row>
    <row r="51" spans="2:12" ht="18" customHeight="1" x14ac:dyDescent="0.25">
      <c r="B51" s="333" t="s">
        <v>1222</v>
      </c>
      <c r="C51" s="116"/>
      <c r="D51" s="686"/>
      <c r="E51" s="687"/>
      <c r="F51" s="687"/>
      <c r="G51" s="687"/>
      <c r="H51" s="688"/>
      <c r="I51" s="673"/>
      <c r="J51" s="1160"/>
      <c r="K51" s="1200" t="str">
        <f t="shared" si="0"/>
        <v/>
      </c>
      <c r="L51" s="694"/>
    </row>
    <row r="52" spans="2:12" ht="18" customHeight="1" x14ac:dyDescent="0.25">
      <c r="B52" s="333" t="s">
        <v>1222</v>
      </c>
      <c r="C52" s="334"/>
      <c r="D52" s="686"/>
      <c r="E52" s="687"/>
      <c r="F52" s="687"/>
      <c r="G52" s="687"/>
      <c r="H52" s="688"/>
      <c r="I52" s="673"/>
      <c r="J52" s="1160"/>
      <c r="K52" s="1200" t="str">
        <f t="shared" si="0"/>
        <v/>
      </c>
      <c r="L52" s="694"/>
    </row>
    <row r="53" spans="2:12" ht="18" customHeight="1" x14ac:dyDescent="0.25">
      <c r="B53" s="333" t="s">
        <v>1222</v>
      </c>
      <c r="C53" s="116"/>
      <c r="D53" s="686"/>
      <c r="E53" s="687"/>
      <c r="F53" s="687"/>
      <c r="G53" s="687"/>
      <c r="H53" s="688"/>
      <c r="I53" s="673"/>
      <c r="J53" s="1160"/>
      <c r="K53" s="1200" t="str">
        <f t="shared" si="0"/>
        <v/>
      </c>
      <c r="L53" s="694"/>
    </row>
    <row r="54" spans="2:12" ht="18" customHeight="1" x14ac:dyDescent="0.25">
      <c r="B54" s="333" t="s">
        <v>1222</v>
      </c>
      <c r="C54" s="116"/>
      <c r="D54" s="686"/>
      <c r="E54" s="687"/>
      <c r="F54" s="687"/>
      <c r="G54" s="687"/>
      <c r="H54" s="688"/>
      <c r="I54" s="673"/>
      <c r="J54" s="1160"/>
      <c r="K54" s="1200" t="str">
        <f t="shared" si="0"/>
        <v/>
      </c>
      <c r="L54" s="694"/>
    </row>
    <row r="55" spans="2:12" ht="18" customHeight="1" thickBot="1" x14ac:dyDescent="0.3">
      <c r="B55" s="223"/>
      <c r="C55" s="224"/>
      <c r="D55" s="224"/>
      <c r="E55" s="224"/>
      <c r="F55" s="206"/>
      <c r="G55" s="206"/>
      <c r="H55" s="206"/>
      <c r="I55" s="206"/>
      <c r="J55" s="206"/>
      <c r="K55" s="207" t="str">
        <f t="shared" si="0"/>
        <v/>
      </c>
      <c r="L55" s="694"/>
    </row>
    <row r="56" spans="2:12" ht="20.100000000000001" customHeight="1" thickBot="1" x14ac:dyDescent="0.35">
      <c r="B56" s="1503">
        <v>0</v>
      </c>
      <c r="C56" s="225"/>
      <c r="D56" s="225"/>
      <c r="E56" s="695"/>
      <c r="F56" s="256" t="s">
        <v>623</v>
      </c>
      <c r="G56" s="696"/>
      <c r="H56" s="696"/>
      <c r="I56" s="697"/>
      <c r="J56" s="697"/>
      <c r="K56" s="1221">
        <f>SUM(K7:K55)</f>
        <v>0</v>
      </c>
    </row>
    <row r="4021" hidden="1" x14ac:dyDescent="0.25"/>
  </sheetData>
  <sheetProtection algorithmName="SHA-512" hashValue="QRRzLQKNOekpKpfvQDU04sCeIv/4Po3YII8jsHVBGFF+E1ntE1v0BpaGJ26myrXo2T/Fg3uWWjjTK5r4nQqOPw==" saltValue="ge2bIbnO3eOaWOcIsa2/Ow==" spinCount="100000" sheet="1" objects="1" scenarios="1" selectLockedCells="1"/>
  <protectedRanges>
    <protectedRange sqref="I7:J54 C26:F29 D36:H36 D43:H54" name="Range3"/>
  </protectedRanges>
  <customSheetViews>
    <customSheetView guid="{BC429C65-53B8-4F97-88D2-74ECCD734800}" showGridLines="0" showRowCol="0">
      <pane xSplit="1" ySplit="6" topLeftCell="B7" activePane="bottomRight" state="frozen"/>
      <selection pane="bottomRight" activeCell="J7" sqref="J7"/>
      <pageMargins left="0.25" right="0.25" top="0.75" bottom="1" header="0" footer="0"/>
      <printOptions horizontalCentered="1"/>
      <pageSetup orientation="portrait" r:id="rId1"/>
      <headerFooter alignWithMargins="0">
        <oddHeader>&amp;RCP</oddHeader>
        <oddFooter>&amp;LADEM Form 318 07/2012</oddFooter>
      </headerFooter>
    </customSheetView>
  </customSheetViews>
  <mergeCells count="19">
    <mergeCell ref="B32:E32"/>
    <mergeCell ref="B41:E41"/>
    <mergeCell ref="B42:E42"/>
    <mergeCell ref="B22:E22"/>
    <mergeCell ref="B23:E23"/>
    <mergeCell ref="B24:E24"/>
    <mergeCell ref="B25:E25"/>
    <mergeCell ref="B31:E31"/>
    <mergeCell ref="B30:E30"/>
    <mergeCell ref="B14:E14"/>
    <mergeCell ref="B15:E15"/>
    <mergeCell ref="B16:E16"/>
    <mergeCell ref="B21:E21"/>
    <mergeCell ref="B20:E20"/>
    <mergeCell ref="B13:E13"/>
    <mergeCell ref="B2:K2"/>
    <mergeCell ref="B3:K3"/>
    <mergeCell ref="B4:K4"/>
    <mergeCell ref="B5:K5"/>
  </mergeCells>
  <phoneticPr fontId="7" type="noConversion"/>
  <dataValidations count="1">
    <dataValidation type="list" allowBlank="1" showErrorMessage="1" sqref="I7:I15 I18:I54" xr:uid="{00000000-0002-0000-2400-000000000000}">
      <formula1>pass</formula1>
    </dataValidation>
  </dataValidations>
  <printOptions horizontalCentered="1"/>
  <pageMargins left="0.5" right="0.5" top="0.5" bottom="0.5" header="0" footer="0"/>
  <pageSetup orientation="portrait" r:id="rId2"/>
  <headerFooter alignWithMargins="0">
    <oddHeader>&amp;RCP</oddHeader>
    <oddFooter>&amp;LADEM Form 31 DRAFT&amp;C2/2025&amp;R*M9 DRAFT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9457" r:id="rId5" name="Button 1">
              <controlPr defaultSize="0" print="0" autoFill="0" autoPict="0" macro="[0]!deletecpdinputs">
                <anchor>
                  <from>
                    <xdr:col>0</xdr:col>
                    <xdr:colOff>160020</xdr:colOff>
                    <xdr:row>13</xdr:row>
                    <xdr:rowOff>22860</xdr:rowOff>
                  </from>
                  <to>
                    <xdr:col>0</xdr:col>
                    <xdr:colOff>822960</xdr:colOff>
                    <xdr:row>15</xdr:row>
                    <xdr:rowOff>213360</xdr:rowOff>
                  </to>
                </anchor>
              </controlPr>
            </control>
          </mc:Choice>
        </mc:AlternateContent>
        <mc:AlternateContent xmlns:mc="http://schemas.openxmlformats.org/markup-compatibility/2006">
          <mc:Choice Requires="x14">
            <control shapeId="19460" r:id="rId6" name="Button 4">
              <controlPr defaultSize="0" print="0" autoFill="0" autoPict="0" macro="[0]!one">
                <anchor>
                  <from>
                    <xdr:col>0</xdr:col>
                    <xdr:colOff>190500</xdr:colOff>
                    <xdr:row>9</xdr:row>
                    <xdr:rowOff>137160</xdr:rowOff>
                  </from>
                  <to>
                    <xdr:col>0</xdr:col>
                    <xdr:colOff>792480</xdr:colOff>
                    <xdr:row>11</xdr:row>
                    <xdr:rowOff>198120</xdr:rowOff>
                  </to>
                </anchor>
              </controlPr>
            </control>
          </mc:Choice>
        </mc:AlternateContent>
        <mc:AlternateContent xmlns:mc="http://schemas.openxmlformats.org/markup-compatibility/2006">
          <mc:Choice Requires="x14">
            <control shapeId="19462" r:id="rId7" name="Button 6">
              <controlPr defaultSize="0" print="0" autoFill="0" autoPict="0" macro="[0]!eight">
                <anchor>
                  <from>
                    <xdr:col>0</xdr:col>
                    <xdr:colOff>144780</xdr:colOff>
                    <xdr:row>17</xdr:row>
                    <xdr:rowOff>22860</xdr:rowOff>
                  </from>
                  <to>
                    <xdr:col>0</xdr:col>
                    <xdr:colOff>830580</xdr:colOff>
                    <xdr:row>19</xdr:row>
                    <xdr:rowOff>160020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00000000-0002-0000-2400-000001000000}">
          <x14:formula1>
            <xm:f>'Form "B" Field'!$E$130</xm:f>
          </x14:formula1>
          <xm:sqref>I16 I17</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tabColor rgb="FFFF7C80"/>
  </sheetPr>
  <dimension ref="A1:N117"/>
  <sheetViews>
    <sheetView showGridLines="0" showRowColHeaders="0" zoomScale="110" zoomScaleNormal="110" workbookViewId="0">
      <selection activeCell="F5" sqref="B5:J10"/>
    </sheetView>
  </sheetViews>
  <sheetFormatPr defaultColWidth="8.88671875" defaultRowHeight="13.2" x14ac:dyDescent="0.25"/>
  <cols>
    <col min="1" max="1" width="13.6640625" style="103" customWidth="1"/>
    <col min="2" max="10" width="9.109375" style="104"/>
    <col min="11" max="11" width="6.5546875" style="129" customWidth="1"/>
    <col min="12" max="12" width="11.33203125" style="129" customWidth="1"/>
    <col min="13" max="16384" width="8.88671875" style="104"/>
  </cols>
  <sheetData>
    <row r="1" spans="2:13" ht="19.2" customHeight="1" thickBot="1" x14ac:dyDescent="0.3">
      <c r="K1" s="1552">
        <f>IF(SUM(M2+M68+M117)=0,0,1)</f>
        <v>0</v>
      </c>
    </row>
    <row r="2" spans="2:13" ht="16.2" thickBot="1" x14ac:dyDescent="0.3">
      <c r="B2" s="723" t="s">
        <v>912</v>
      </c>
      <c r="C2" s="724"/>
      <c r="D2" s="724"/>
      <c r="E2" s="724"/>
      <c r="F2" s="724"/>
      <c r="G2" s="724"/>
      <c r="H2" s="724"/>
      <c r="I2" s="724"/>
      <c r="J2" s="724"/>
      <c r="K2" s="724"/>
      <c r="L2" s="725"/>
      <c r="M2" s="430">
        <f>IF(SUM(L25+L44)=0,0,1)</f>
        <v>0</v>
      </c>
    </row>
    <row r="3" spans="2:13" ht="15.6" x14ac:dyDescent="0.25">
      <c r="B3" s="1701" t="s">
        <v>637</v>
      </c>
      <c r="C3" s="1702"/>
      <c r="D3" s="1702"/>
      <c r="E3" s="1702"/>
      <c r="F3" s="1702"/>
      <c r="G3" s="1702"/>
      <c r="H3" s="1702"/>
      <c r="I3" s="1702"/>
      <c r="J3" s="1702"/>
      <c r="K3" s="1702"/>
      <c r="L3" s="1703"/>
    </row>
    <row r="4" spans="2:13" ht="14.4" thickBot="1" x14ac:dyDescent="0.3">
      <c r="B4" s="1704" t="s">
        <v>639</v>
      </c>
      <c r="C4" s="1705"/>
      <c r="D4" s="1705"/>
      <c r="E4" s="1705"/>
      <c r="F4" s="1705"/>
      <c r="G4" s="1705"/>
      <c r="H4" s="1705"/>
      <c r="I4" s="1705"/>
      <c r="J4" s="1705"/>
      <c r="K4" s="1705"/>
      <c r="L4" s="1706"/>
    </row>
    <row r="5" spans="2:13" ht="14.4" thickBot="1" x14ac:dyDescent="0.3">
      <c r="B5" s="778" t="s">
        <v>844</v>
      </c>
      <c r="C5" s="779"/>
      <c r="D5" s="779"/>
      <c r="E5" s="779"/>
      <c r="F5" s="779"/>
      <c r="G5" s="779"/>
      <c r="H5" s="779"/>
      <c r="I5" s="779"/>
      <c r="J5" s="779"/>
      <c r="K5" s="779"/>
      <c r="L5" s="780"/>
    </row>
    <row r="6" spans="2:13" ht="13.8" thickBot="1" x14ac:dyDescent="0.3">
      <c r="B6" s="68"/>
      <c r="C6" s="138"/>
      <c r="D6" s="781" t="s">
        <v>638</v>
      </c>
      <c r="E6" s="781"/>
      <c r="F6" s="781"/>
      <c r="G6" s="781"/>
      <c r="H6" s="781"/>
      <c r="I6" s="781"/>
      <c r="J6" s="138"/>
      <c r="K6" s="1555">
        <f>IF(SUM(L25+L44)=0,0,1)</f>
        <v>0</v>
      </c>
      <c r="L6" s="139"/>
    </row>
    <row r="7" spans="2:13" ht="13.8" thickBot="1" x14ac:dyDescent="0.3">
      <c r="B7" s="2266" t="s">
        <v>453</v>
      </c>
      <c r="C7" s="2267"/>
      <c r="D7" s="2471"/>
      <c r="E7" s="2471"/>
      <c r="F7" s="2471"/>
      <c r="G7" s="2471"/>
      <c r="H7" s="2471"/>
      <c r="I7" s="2471"/>
      <c r="J7" s="159">
        <f>'Maximum Rates'!D5</f>
        <v>122</v>
      </c>
      <c r="K7" s="762"/>
      <c r="L7" s="671" t="str">
        <f>IF(K7&lt;0.01,"",(J7*K7))</f>
        <v/>
      </c>
    </row>
    <row r="8" spans="2:13" x14ac:dyDescent="0.25">
      <c r="B8" s="2470"/>
      <c r="C8" s="2286"/>
      <c r="D8" s="2471"/>
      <c r="E8" s="2471"/>
      <c r="F8" s="2471"/>
      <c r="G8" s="2471"/>
      <c r="H8" s="2471"/>
      <c r="I8" s="2471"/>
      <c r="J8" s="159"/>
      <c r="K8" s="160"/>
      <c r="L8" s="671"/>
    </row>
    <row r="9" spans="2:13" x14ac:dyDescent="0.25">
      <c r="B9" s="2470"/>
      <c r="C9" s="2286"/>
      <c r="D9" s="2471"/>
      <c r="E9" s="2471"/>
      <c r="F9" s="2471"/>
      <c r="G9" s="2471"/>
      <c r="H9" s="2471"/>
      <c r="I9" s="2471"/>
      <c r="J9" s="159"/>
      <c r="K9" s="160"/>
      <c r="L9" s="671"/>
    </row>
    <row r="10" spans="2:13" ht="13.8" thickBot="1" x14ac:dyDescent="0.3">
      <c r="B10" s="998"/>
      <c r="C10" s="999"/>
      <c r="D10" s="2471"/>
      <c r="E10" s="2471"/>
      <c r="F10" s="2471"/>
      <c r="G10" s="2471"/>
      <c r="H10" s="2471"/>
      <c r="I10" s="2471"/>
      <c r="J10" s="159"/>
      <c r="K10" s="160"/>
      <c r="L10" s="671"/>
    </row>
    <row r="11" spans="2:13" ht="13.8" thickBot="1" x14ac:dyDescent="0.3">
      <c r="B11" s="2266" t="s">
        <v>454</v>
      </c>
      <c r="C11" s="2267"/>
      <c r="D11" s="2471"/>
      <c r="E11" s="2471"/>
      <c r="F11" s="2471"/>
      <c r="G11" s="2471"/>
      <c r="H11" s="2471"/>
      <c r="I11" s="2471"/>
      <c r="J11" s="159">
        <f>'Maximum Rates'!D6</f>
        <v>140</v>
      </c>
      <c r="K11" s="762"/>
      <c r="L11" s="671" t="str">
        <f>IF(K11&lt;0.01,"",(J11*K11))</f>
        <v/>
      </c>
    </row>
    <row r="12" spans="2:13" x14ac:dyDescent="0.25">
      <c r="B12" s="2470"/>
      <c r="C12" s="2286"/>
      <c r="D12" s="2471"/>
      <c r="E12" s="2471"/>
      <c r="F12" s="2471"/>
      <c r="G12" s="2471"/>
      <c r="H12" s="2471"/>
      <c r="I12" s="2471"/>
      <c r="J12" s="159"/>
      <c r="K12" s="160"/>
      <c r="L12" s="671"/>
    </row>
    <row r="13" spans="2:13" ht="13.8" thickBot="1" x14ac:dyDescent="0.3">
      <c r="B13" s="2470"/>
      <c r="C13" s="2286"/>
      <c r="D13" s="2471"/>
      <c r="E13" s="2471"/>
      <c r="F13" s="2471"/>
      <c r="G13" s="2471"/>
      <c r="H13" s="2471"/>
      <c r="I13" s="2471"/>
      <c r="J13" s="159"/>
      <c r="K13" s="160"/>
      <c r="L13" s="671"/>
    </row>
    <row r="14" spans="2:13" ht="13.8" thickBot="1" x14ac:dyDescent="0.3">
      <c r="B14" s="2266" t="s">
        <v>27</v>
      </c>
      <c r="C14" s="2267"/>
      <c r="D14" s="2471"/>
      <c r="E14" s="2471"/>
      <c r="F14" s="2471"/>
      <c r="G14" s="2471"/>
      <c r="H14" s="2471"/>
      <c r="I14" s="2471"/>
      <c r="J14" s="159">
        <f>'Maximum Rates'!D7</f>
        <v>102</v>
      </c>
      <c r="K14" s="762"/>
      <c r="L14" s="671" t="str">
        <f>IF(K14&lt;0.01,"",(J14*K14))</f>
        <v/>
      </c>
    </row>
    <row r="15" spans="2:13" x14ac:dyDescent="0.25">
      <c r="B15" s="2266" t="s">
        <v>796</v>
      </c>
      <c r="C15" s="2267"/>
      <c r="D15" s="2471"/>
      <c r="E15" s="2471"/>
      <c r="F15" s="2471"/>
      <c r="G15" s="2471"/>
      <c r="H15" s="2471"/>
      <c r="I15" s="2471"/>
      <c r="J15" s="159"/>
      <c r="K15" s="160"/>
      <c r="L15" s="671"/>
    </row>
    <row r="16" spans="2:13" ht="13.8" thickBot="1" x14ac:dyDescent="0.3">
      <c r="B16" s="2470"/>
      <c r="C16" s="2286"/>
      <c r="D16" s="2471"/>
      <c r="E16" s="2471"/>
      <c r="F16" s="2471"/>
      <c r="G16" s="2471"/>
      <c r="H16" s="2471"/>
      <c r="I16" s="2471"/>
      <c r="J16" s="159"/>
      <c r="K16" s="160"/>
      <c r="L16" s="671"/>
    </row>
    <row r="17" spans="2:14" ht="13.8" thickBot="1" x14ac:dyDescent="0.3">
      <c r="B17" s="996" t="s">
        <v>795</v>
      </c>
      <c r="C17" s="999"/>
      <c r="D17" s="2473"/>
      <c r="E17" s="2474"/>
      <c r="F17" s="2474"/>
      <c r="G17" s="2474"/>
      <c r="H17" s="2474"/>
      <c r="I17" s="2475"/>
      <c r="J17" s="159">
        <f>'Maximum Rates'!D8</f>
        <v>95</v>
      </c>
      <c r="K17" s="762"/>
      <c r="L17" s="671" t="str">
        <f>IF(K17&lt;0.01,"",(J17*K17))</f>
        <v/>
      </c>
    </row>
    <row r="18" spans="2:14" x14ac:dyDescent="0.25">
      <c r="B18" s="998"/>
      <c r="C18" s="999"/>
      <c r="D18" s="2476"/>
      <c r="E18" s="2477"/>
      <c r="F18" s="2477"/>
      <c r="G18" s="2477"/>
      <c r="H18" s="2477"/>
      <c r="I18" s="2478"/>
      <c r="J18" s="159"/>
      <c r="K18" s="160"/>
      <c r="L18" s="671"/>
    </row>
    <row r="19" spans="2:14" ht="13.8" thickBot="1" x14ac:dyDescent="0.3">
      <c r="B19" s="998"/>
      <c r="C19" s="999"/>
      <c r="D19" s="2479"/>
      <c r="E19" s="2480"/>
      <c r="F19" s="2480"/>
      <c r="G19" s="2480"/>
      <c r="H19" s="2480"/>
      <c r="I19" s="2481"/>
      <c r="J19" s="159"/>
      <c r="K19" s="160"/>
      <c r="L19" s="671"/>
    </row>
    <row r="20" spans="2:14" ht="13.8" thickBot="1" x14ac:dyDescent="0.3">
      <c r="B20" s="2266" t="s">
        <v>456</v>
      </c>
      <c r="C20" s="2267"/>
      <c r="D20" s="2471"/>
      <c r="E20" s="2471"/>
      <c r="F20" s="2471"/>
      <c r="G20" s="2471"/>
      <c r="H20" s="2471"/>
      <c r="I20" s="2471"/>
      <c r="J20" s="159">
        <f>'Maximum Rates'!D10</f>
        <v>74</v>
      </c>
      <c r="K20" s="762"/>
      <c r="L20" s="671" t="str">
        <f>IF(K20&lt;0.01,"",(J20*K20))</f>
        <v/>
      </c>
    </row>
    <row r="21" spans="2:14" x14ac:dyDescent="0.25">
      <c r="B21" s="2470"/>
      <c r="C21" s="2286"/>
      <c r="D21" s="2471"/>
      <c r="E21" s="2471"/>
      <c r="F21" s="2471"/>
      <c r="G21" s="2471"/>
      <c r="H21" s="2471"/>
      <c r="I21" s="2471"/>
      <c r="J21" s="159"/>
      <c r="K21" s="160"/>
      <c r="L21" s="671"/>
    </row>
    <row r="22" spans="2:14" ht="13.8" thickBot="1" x14ac:dyDescent="0.3">
      <c r="B22" s="2470"/>
      <c r="C22" s="2286"/>
      <c r="D22" s="2471"/>
      <c r="E22" s="2471"/>
      <c r="F22" s="2471"/>
      <c r="G22" s="2471"/>
      <c r="H22" s="2471"/>
      <c r="I22" s="2471"/>
      <c r="J22" s="159"/>
      <c r="K22" s="160"/>
      <c r="L22" s="671"/>
      <c r="N22" s="276"/>
    </row>
    <row r="23" spans="2:14" ht="13.8" thickBot="1" x14ac:dyDescent="0.3">
      <c r="B23" s="2266" t="s">
        <v>457</v>
      </c>
      <c r="C23" s="2267"/>
      <c r="D23" s="2471"/>
      <c r="E23" s="2471"/>
      <c r="F23" s="2471"/>
      <c r="G23" s="2471"/>
      <c r="H23" s="2471"/>
      <c r="I23" s="2471"/>
      <c r="J23" s="159">
        <f>'Maximum Rates'!D11</f>
        <v>60</v>
      </c>
      <c r="K23" s="762"/>
      <c r="L23" s="671" t="str">
        <f>IF(K23&lt;0.01,"",(J23*K23))</f>
        <v/>
      </c>
    </row>
    <row r="24" spans="2:14" ht="13.8" thickBot="1" x14ac:dyDescent="0.3">
      <c r="B24" s="2470"/>
      <c r="C24" s="2286"/>
      <c r="D24" s="2471"/>
      <c r="E24" s="2471"/>
      <c r="F24" s="2471"/>
      <c r="G24" s="2471"/>
      <c r="H24" s="2472"/>
      <c r="I24" s="2472"/>
      <c r="J24" s="138"/>
      <c r="K24" s="160"/>
      <c r="L24" s="671"/>
    </row>
    <row r="25" spans="2:14" ht="13.8" thickBot="1" x14ac:dyDescent="0.3">
      <c r="B25" s="66"/>
      <c r="C25" s="141"/>
      <c r="D25" s="141"/>
      <c r="E25" s="141"/>
      <c r="F25" s="141"/>
      <c r="G25" s="141"/>
      <c r="H25" s="2482" t="s">
        <v>636</v>
      </c>
      <c r="I25" s="2483"/>
      <c r="J25" s="2483"/>
      <c r="K25" s="2483"/>
      <c r="L25" s="672">
        <f>SUM(L7:L23)</f>
        <v>0</v>
      </c>
    </row>
    <row r="26" spans="2:14" ht="14.4" thickBot="1" x14ac:dyDescent="0.3">
      <c r="B26" s="778" t="s">
        <v>845</v>
      </c>
      <c r="C26" s="779"/>
      <c r="D26" s="779"/>
      <c r="E26" s="779"/>
      <c r="F26" s="779"/>
      <c r="G26" s="779"/>
      <c r="H26" s="779"/>
      <c r="I26" s="779"/>
      <c r="J26" s="779"/>
      <c r="K26" s="779"/>
      <c r="L26" s="780"/>
      <c r="M26" s="430">
        <f>SUM(L25+L44)</f>
        <v>0</v>
      </c>
    </row>
    <row r="27" spans="2:14" ht="13.8" thickBot="1" x14ac:dyDescent="0.3">
      <c r="B27" s="791" t="s">
        <v>638</v>
      </c>
      <c r="C27" s="792"/>
      <c r="D27" s="781"/>
      <c r="E27" s="781"/>
      <c r="F27" s="781"/>
      <c r="G27" s="781"/>
      <c r="H27" s="781"/>
      <c r="I27" s="781"/>
      <c r="J27" s="792"/>
      <c r="K27" s="955"/>
      <c r="L27" s="956"/>
    </row>
    <row r="28" spans="2:14" ht="13.8" thickBot="1" x14ac:dyDescent="0.3">
      <c r="B28" s="2266" t="s">
        <v>453</v>
      </c>
      <c r="C28" s="2267"/>
      <c r="D28" s="2471"/>
      <c r="E28" s="2471"/>
      <c r="F28" s="2471"/>
      <c r="G28" s="2471"/>
      <c r="H28" s="2471"/>
      <c r="I28" s="2471"/>
      <c r="J28" s="159">
        <f>'Maximum Rates'!D5</f>
        <v>122</v>
      </c>
      <c r="K28" s="762"/>
      <c r="L28" s="671" t="str">
        <f>IF(K28&lt;0.01,"",(J28*K28))</f>
        <v/>
      </c>
    </row>
    <row r="29" spans="2:14" x14ac:dyDescent="0.25">
      <c r="B29" s="2470"/>
      <c r="C29" s="2286"/>
      <c r="D29" s="2471"/>
      <c r="E29" s="2471"/>
      <c r="F29" s="2471"/>
      <c r="G29" s="2471"/>
      <c r="H29" s="2471"/>
      <c r="I29" s="2471"/>
      <c r="J29" s="159"/>
      <c r="K29" s="160"/>
      <c r="L29" s="671"/>
    </row>
    <row r="30" spans="2:14" x14ac:dyDescent="0.25">
      <c r="B30" s="2470"/>
      <c r="C30" s="2286"/>
      <c r="D30" s="2471"/>
      <c r="E30" s="2471"/>
      <c r="F30" s="2471"/>
      <c r="G30" s="2471"/>
      <c r="H30" s="2471"/>
      <c r="I30" s="2471"/>
      <c r="J30" s="159"/>
      <c r="K30" s="160"/>
      <c r="L30" s="671"/>
    </row>
    <row r="31" spans="2:14" ht="13.8" thickBot="1" x14ac:dyDescent="0.3">
      <c r="B31" s="998"/>
      <c r="C31" s="999"/>
      <c r="D31" s="2471"/>
      <c r="E31" s="2471"/>
      <c r="F31" s="2471"/>
      <c r="G31" s="2471"/>
      <c r="H31" s="2471"/>
      <c r="I31" s="2471"/>
      <c r="J31" s="159"/>
      <c r="K31" s="160"/>
      <c r="L31" s="671"/>
    </row>
    <row r="32" spans="2:14" ht="13.8" thickBot="1" x14ac:dyDescent="0.3">
      <c r="B32" s="2266" t="s">
        <v>454</v>
      </c>
      <c r="C32" s="2267"/>
      <c r="D32" s="2471"/>
      <c r="E32" s="2471"/>
      <c r="F32" s="2471"/>
      <c r="G32" s="2471"/>
      <c r="H32" s="2471"/>
      <c r="I32" s="2471"/>
      <c r="J32" s="159">
        <f>'Maximum Rates'!D6</f>
        <v>140</v>
      </c>
      <c r="K32" s="762"/>
      <c r="L32" s="671" t="str">
        <f>IF(K32&lt;0.01,"",(J32*K32))</f>
        <v/>
      </c>
    </row>
    <row r="33" spans="2:12" x14ac:dyDescent="0.25">
      <c r="B33" s="2470"/>
      <c r="C33" s="2286"/>
      <c r="D33" s="2471"/>
      <c r="E33" s="2471"/>
      <c r="F33" s="2471"/>
      <c r="G33" s="2471"/>
      <c r="H33" s="2471"/>
      <c r="I33" s="2471"/>
      <c r="J33" s="159"/>
      <c r="K33" s="160"/>
      <c r="L33" s="671"/>
    </row>
    <row r="34" spans="2:12" ht="13.8" thickBot="1" x14ac:dyDescent="0.3">
      <c r="B34" s="2470"/>
      <c r="C34" s="2286"/>
      <c r="D34" s="2471"/>
      <c r="E34" s="2471"/>
      <c r="F34" s="2471"/>
      <c r="G34" s="2471"/>
      <c r="H34" s="2471"/>
      <c r="I34" s="2471"/>
      <c r="J34" s="159"/>
      <c r="K34" s="160"/>
      <c r="L34" s="671"/>
    </row>
    <row r="35" spans="2:12" ht="13.8" thickBot="1" x14ac:dyDescent="0.3">
      <c r="B35" s="2266" t="s">
        <v>455</v>
      </c>
      <c r="C35" s="2267"/>
      <c r="D35" s="2471"/>
      <c r="E35" s="2471"/>
      <c r="F35" s="2471"/>
      <c r="G35" s="2471"/>
      <c r="H35" s="2471"/>
      <c r="I35" s="2471"/>
      <c r="J35" s="159">
        <f>'Maximum Rates'!D7</f>
        <v>102</v>
      </c>
      <c r="K35" s="762"/>
      <c r="L35" s="671" t="str">
        <f>IF(K35&lt;0.01,"",(J35*K35))</f>
        <v/>
      </c>
    </row>
    <row r="36" spans="2:12" x14ac:dyDescent="0.25">
      <c r="B36" s="2266" t="s">
        <v>218</v>
      </c>
      <c r="C36" s="2267"/>
      <c r="D36" s="2471"/>
      <c r="E36" s="2471"/>
      <c r="F36" s="2471"/>
      <c r="G36" s="2471"/>
      <c r="H36" s="2471"/>
      <c r="I36" s="2471"/>
      <c r="J36" s="159"/>
      <c r="K36" s="160"/>
      <c r="L36" s="671"/>
    </row>
    <row r="37" spans="2:12" ht="13.8" thickBot="1" x14ac:dyDescent="0.3">
      <c r="B37" s="2470"/>
      <c r="C37" s="2286"/>
      <c r="D37" s="2471"/>
      <c r="E37" s="2471"/>
      <c r="F37" s="2471"/>
      <c r="G37" s="2471"/>
      <c r="H37" s="2471"/>
      <c r="I37" s="2471"/>
      <c r="J37" s="159"/>
      <c r="K37" s="160"/>
      <c r="L37" s="671"/>
    </row>
    <row r="38" spans="2:12" ht="13.8" thickBot="1" x14ac:dyDescent="0.3">
      <c r="B38" s="996" t="s">
        <v>795</v>
      </c>
      <c r="C38" s="999"/>
      <c r="D38" s="2473"/>
      <c r="E38" s="2474"/>
      <c r="F38" s="2474"/>
      <c r="G38" s="2474"/>
      <c r="H38" s="2474"/>
      <c r="I38" s="2475"/>
      <c r="J38" s="159">
        <f>'Maximum Rates'!D8</f>
        <v>95</v>
      </c>
      <c r="K38" s="762"/>
      <c r="L38" s="671" t="str">
        <f>IF(K38&lt;0.01,"",(J38*K38))</f>
        <v/>
      </c>
    </row>
    <row r="39" spans="2:12" x14ac:dyDescent="0.25">
      <c r="B39" s="998"/>
      <c r="C39" s="999"/>
      <c r="D39" s="2476"/>
      <c r="E39" s="2477"/>
      <c r="F39" s="2477"/>
      <c r="G39" s="2477"/>
      <c r="H39" s="2477"/>
      <c r="I39" s="2478"/>
      <c r="J39" s="159"/>
      <c r="K39" s="160"/>
      <c r="L39" s="671"/>
    </row>
    <row r="40" spans="2:12" ht="13.8" thickBot="1" x14ac:dyDescent="0.3">
      <c r="B40" s="998"/>
      <c r="C40" s="999"/>
      <c r="D40" s="2479"/>
      <c r="E40" s="2480"/>
      <c r="F40" s="2480"/>
      <c r="G40" s="2480"/>
      <c r="H40" s="2480"/>
      <c r="I40" s="2481"/>
      <c r="J40" s="159"/>
      <c r="K40" s="160"/>
      <c r="L40" s="671"/>
    </row>
    <row r="41" spans="2:12" ht="13.8" thickBot="1" x14ac:dyDescent="0.3">
      <c r="B41" s="2266" t="s">
        <v>869</v>
      </c>
      <c r="C41" s="2267"/>
      <c r="D41" s="2471"/>
      <c r="E41" s="2471"/>
      <c r="F41" s="2471"/>
      <c r="G41" s="2471"/>
      <c r="H41" s="2471"/>
      <c r="I41" s="2471"/>
      <c r="J41" s="159">
        <f>'Maximum Rates'!D9</f>
        <v>74</v>
      </c>
      <c r="K41" s="762"/>
      <c r="L41" s="671" t="str">
        <f>IF(K41&lt;0.01,"",(J41*K41))</f>
        <v/>
      </c>
    </row>
    <row r="42" spans="2:12" x14ac:dyDescent="0.25">
      <c r="B42" s="2470"/>
      <c r="C42" s="2286"/>
      <c r="D42" s="2471"/>
      <c r="E42" s="2471"/>
      <c r="F42" s="2471"/>
      <c r="G42" s="2471"/>
      <c r="H42" s="2471"/>
      <c r="I42" s="2471"/>
      <c r="J42" s="159"/>
      <c r="K42" s="160"/>
      <c r="L42" s="671"/>
    </row>
    <row r="43" spans="2:12" ht="13.8" thickBot="1" x14ac:dyDescent="0.3">
      <c r="B43" s="2470"/>
      <c r="C43" s="2286"/>
      <c r="D43" s="2471"/>
      <c r="E43" s="2471"/>
      <c r="F43" s="2471"/>
      <c r="G43" s="2471"/>
      <c r="H43" s="2471"/>
      <c r="I43" s="2471"/>
      <c r="J43" s="159"/>
      <c r="K43" s="160"/>
      <c r="L43" s="671"/>
    </row>
    <row r="44" spans="2:12" ht="13.8" thickBot="1" x14ac:dyDescent="0.3">
      <c r="B44" s="66"/>
      <c r="C44" s="141"/>
      <c r="D44" s="141"/>
      <c r="E44" s="141"/>
      <c r="F44" s="141"/>
      <c r="G44" s="141"/>
      <c r="H44" s="2484" t="s">
        <v>1075</v>
      </c>
      <c r="I44" s="2485"/>
      <c r="J44" s="2485"/>
      <c r="K44" s="2485"/>
      <c r="L44" s="672">
        <f>SUM(L28:L41)</f>
        <v>0</v>
      </c>
    </row>
    <row r="45" spans="2:12" ht="16.2" thickBot="1" x14ac:dyDescent="0.3">
      <c r="B45" s="723" t="s">
        <v>912</v>
      </c>
      <c r="C45" s="724"/>
      <c r="D45" s="724"/>
      <c r="E45" s="724"/>
      <c r="F45" s="724"/>
      <c r="G45" s="724"/>
      <c r="H45" s="724"/>
      <c r="I45" s="724"/>
      <c r="J45" s="724"/>
      <c r="K45" s="724"/>
      <c r="L45" s="725"/>
    </row>
    <row r="46" spans="2:12" ht="15.6" x14ac:dyDescent="0.25">
      <c r="B46" s="1701" t="s">
        <v>637</v>
      </c>
      <c r="C46" s="1702"/>
      <c r="D46" s="1702"/>
      <c r="E46" s="1702"/>
      <c r="F46" s="1702"/>
      <c r="G46" s="1702"/>
      <c r="H46" s="1702"/>
      <c r="I46" s="1702"/>
      <c r="J46" s="1702"/>
      <c r="K46" s="1702"/>
      <c r="L46" s="1703"/>
    </row>
    <row r="47" spans="2:12" ht="14.4" thickBot="1" x14ac:dyDescent="0.3">
      <c r="B47" s="1704" t="s">
        <v>639</v>
      </c>
      <c r="C47" s="1705"/>
      <c r="D47" s="1705"/>
      <c r="E47" s="1705"/>
      <c r="F47" s="1705"/>
      <c r="G47" s="1705"/>
      <c r="H47" s="1705"/>
      <c r="I47" s="1705"/>
      <c r="J47" s="1705"/>
      <c r="K47" s="1705"/>
      <c r="L47" s="1706"/>
    </row>
    <row r="48" spans="2:12" ht="14.4" thickBot="1" x14ac:dyDescent="0.3">
      <c r="B48" s="778" t="s">
        <v>84</v>
      </c>
      <c r="C48" s="779"/>
      <c r="D48" s="779"/>
      <c r="E48" s="779"/>
      <c r="F48" s="779"/>
      <c r="G48" s="779"/>
      <c r="H48" s="779"/>
      <c r="I48" s="779"/>
      <c r="J48" s="779"/>
      <c r="K48" s="779"/>
      <c r="L48" s="780"/>
    </row>
    <row r="49" spans="2:12" ht="13.8" thickBot="1" x14ac:dyDescent="0.3">
      <c r="B49" s="791" t="s">
        <v>638</v>
      </c>
      <c r="C49" s="953"/>
      <c r="D49" s="781"/>
      <c r="E49" s="781"/>
      <c r="F49" s="781"/>
      <c r="G49" s="781"/>
      <c r="H49" s="781"/>
      <c r="I49" s="781"/>
      <c r="J49" s="953"/>
      <c r="K49" s="1556">
        <f>IF(SUM(K68)=0,0,1)</f>
        <v>0</v>
      </c>
      <c r="L49" s="954"/>
    </row>
    <row r="50" spans="2:12" ht="13.8" thickBot="1" x14ac:dyDescent="0.3">
      <c r="B50" s="2266" t="s">
        <v>453</v>
      </c>
      <c r="C50" s="2267"/>
      <c r="D50" s="2471"/>
      <c r="E50" s="2471"/>
      <c r="F50" s="2471"/>
      <c r="G50" s="2471"/>
      <c r="H50" s="2471"/>
      <c r="I50" s="2471"/>
      <c r="J50" s="159">
        <f>'Maximum Rates'!D5</f>
        <v>122</v>
      </c>
      <c r="K50" s="762"/>
      <c r="L50" s="671" t="str">
        <f>IF(K50&lt;0.01,"",(J50*K50))</f>
        <v/>
      </c>
    </row>
    <row r="51" spans="2:12" x14ac:dyDescent="0.25">
      <c r="B51" s="2470"/>
      <c r="C51" s="2286"/>
      <c r="D51" s="2471"/>
      <c r="E51" s="2471"/>
      <c r="F51" s="2471"/>
      <c r="G51" s="2471"/>
      <c r="H51" s="2471"/>
      <c r="I51" s="2471"/>
      <c r="J51" s="159"/>
      <c r="K51" s="160"/>
      <c r="L51" s="671"/>
    </row>
    <row r="52" spans="2:12" x14ac:dyDescent="0.25">
      <c r="B52" s="2470"/>
      <c r="C52" s="2286"/>
      <c r="D52" s="2471"/>
      <c r="E52" s="2471"/>
      <c r="F52" s="2471"/>
      <c r="G52" s="2471"/>
      <c r="H52" s="2471"/>
      <c r="I52" s="2471"/>
      <c r="J52" s="159"/>
      <c r="K52" s="160"/>
      <c r="L52" s="671"/>
    </row>
    <row r="53" spans="2:12" ht="13.8" thickBot="1" x14ac:dyDescent="0.3">
      <c r="B53" s="998"/>
      <c r="C53" s="999"/>
      <c r="D53" s="2471"/>
      <c r="E53" s="2471"/>
      <c r="F53" s="2471"/>
      <c r="G53" s="2471"/>
      <c r="H53" s="2471"/>
      <c r="I53" s="2471"/>
      <c r="J53" s="159"/>
      <c r="K53" s="160"/>
      <c r="L53" s="671"/>
    </row>
    <row r="54" spans="2:12" ht="13.8" thickBot="1" x14ac:dyDescent="0.3">
      <c r="B54" s="2266" t="s">
        <v>454</v>
      </c>
      <c r="C54" s="2267"/>
      <c r="D54" s="2471"/>
      <c r="E54" s="2471"/>
      <c r="F54" s="2471"/>
      <c r="G54" s="2471"/>
      <c r="H54" s="2471"/>
      <c r="I54" s="2471"/>
      <c r="J54" s="159">
        <f>'Maximum Rates'!D6</f>
        <v>140</v>
      </c>
      <c r="K54" s="762"/>
      <c r="L54" s="671" t="str">
        <f>IF(K54&lt;0.01,"",(J54*K54))</f>
        <v/>
      </c>
    </row>
    <row r="55" spans="2:12" x14ac:dyDescent="0.25">
      <c r="B55" s="2470"/>
      <c r="C55" s="2286"/>
      <c r="D55" s="2471"/>
      <c r="E55" s="2471"/>
      <c r="F55" s="2471"/>
      <c r="G55" s="2471"/>
      <c r="H55" s="2471"/>
      <c r="I55" s="2471"/>
      <c r="J55" s="159"/>
      <c r="K55" s="160"/>
      <c r="L55" s="671"/>
    </row>
    <row r="56" spans="2:12" ht="13.8" thickBot="1" x14ac:dyDescent="0.3">
      <c r="B56" s="2470"/>
      <c r="C56" s="2286"/>
      <c r="D56" s="2471"/>
      <c r="E56" s="2471"/>
      <c r="F56" s="2471"/>
      <c r="G56" s="2471"/>
      <c r="H56" s="2471"/>
      <c r="I56" s="2471"/>
      <c r="J56" s="159"/>
      <c r="K56" s="160"/>
      <c r="L56" s="671"/>
    </row>
    <row r="57" spans="2:12" ht="13.8" thickBot="1" x14ac:dyDescent="0.3">
      <c r="B57" s="2266" t="s">
        <v>27</v>
      </c>
      <c r="C57" s="2267"/>
      <c r="D57" s="2471"/>
      <c r="E57" s="2471"/>
      <c r="F57" s="2471"/>
      <c r="G57" s="2471"/>
      <c r="H57" s="2471"/>
      <c r="I57" s="2471"/>
      <c r="J57" s="159">
        <f>'Maximum Rates'!D7</f>
        <v>102</v>
      </c>
      <c r="K57" s="762"/>
      <c r="L57" s="671" t="str">
        <f>IF(K57&lt;0.01,"",(J57*K57))</f>
        <v/>
      </c>
    </row>
    <row r="58" spans="2:12" x14ac:dyDescent="0.25">
      <c r="B58" s="2266" t="s">
        <v>796</v>
      </c>
      <c r="C58" s="2267"/>
      <c r="D58" s="2471"/>
      <c r="E58" s="2471"/>
      <c r="F58" s="2471"/>
      <c r="G58" s="2471"/>
      <c r="H58" s="2471"/>
      <c r="I58" s="2471"/>
      <c r="J58" s="159"/>
      <c r="K58" s="160"/>
      <c r="L58" s="671"/>
    </row>
    <row r="59" spans="2:12" ht="13.8" thickBot="1" x14ac:dyDescent="0.3">
      <c r="B59" s="2470"/>
      <c r="C59" s="2286"/>
      <c r="D59" s="2471"/>
      <c r="E59" s="2471"/>
      <c r="F59" s="2471"/>
      <c r="G59" s="2471"/>
      <c r="H59" s="2471"/>
      <c r="I59" s="2471"/>
      <c r="J59" s="159"/>
      <c r="K59" s="160"/>
      <c r="L59" s="671"/>
    </row>
    <row r="60" spans="2:12" ht="13.8" thickBot="1" x14ac:dyDescent="0.3">
      <c r="B60" s="996" t="s">
        <v>795</v>
      </c>
      <c r="C60" s="999"/>
      <c r="D60" s="2473"/>
      <c r="E60" s="2474"/>
      <c r="F60" s="2474"/>
      <c r="G60" s="2474"/>
      <c r="H60" s="2474"/>
      <c r="I60" s="2475"/>
      <c r="J60" s="159">
        <f>'Maximum Rates'!D8</f>
        <v>95</v>
      </c>
      <c r="K60" s="762"/>
      <c r="L60" s="671" t="str">
        <f>IF(K60&lt;0.01,"",(J60*K60))</f>
        <v/>
      </c>
    </row>
    <row r="61" spans="2:12" x14ac:dyDescent="0.25">
      <c r="B61" s="998"/>
      <c r="C61" s="999"/>
      <c r="D61" s="2476"/>
      <c r="E61" s="2477"/>
      <c r="F61" s="2477"/>
      <c r="G61" s="2477"/>
      <c r="H61" s="2477"/>
      <c r="I61" s="2478"/>
      <c r="J61" s="159"/>
      <c r="K61" s="160"/>
      <c r="L61" s="671"/>
    </row>
    <row r="62" spans="2:12" ht="13.8" thickBot="1" x14ac:dyDescent="0.3">
      <c r="B62" s="998"/>
      <c r="C62" s="999"/>
      <c r="D62" s="2479"/>
      <c r="E62" s="2480"/>
      <c r="F62" s="2480"/>
      <c r="G62" s="2480"/>
      <c r="H62" s="2480"/>
      <c r="I62" s="2481"/>
      <c r="J62" s="159"/>
      <c r="K62" s="160"/>
      <c r="L62" s="671"/>
    </row>
    <row r="63" spans="2:12" ht="13.8" thickBot="1" x14ac:dyDescent="0.3">
      <c r="B63" s="2266" t="s">
        <v>456</v>
      </c>
      <c r="C63" s="2267"/>
      <c r="D63" s="2486"/>
      <c r="E63" s="2486"/>
      <c r="F63" s="2486"/>
      <c r="G63" s="2486"/>
      <c r="H63" s="2486"/>
      <c r="I63" s="2486"/>
      <c r="J63" s="159">
        <f>'Maximum Rates'!D10</f>
        <v>74</v>
      </c>
      <c r="K63" s="762"/>
      <c r="L63" s="671" t="str">
        <f>IF(K63&lt;0.01,"",(J63*K63))</f>
        <v/>
      </c>
    </row>
    <row r="64" spans="2:12" x14ac:dyDescent="0.25">
      <c r="B64" s="2470"/>
      <c r="C64" s="2286"/>
      <c r="D64" s="2486"/>
      <c r="E64" s="2486"/>
      <c r="F64" s="2486"/>
      <c r="G64" s="2486"/>
      <c r="H64" s="2486"/>
      <c r="I64" s="2486"/>
      <c r="J64" s="159"/>
      <c r="K64" s="160"/>
      <c r="L64" s="671"/>
    </row>
    <row r="65" spans="2:13" ht="13.8" thickBot="1" x14ac:dyDescent="0.3">
      <c r="B65" s="2470"/>
      <c r="C65" s="2286"/>
      <c r="D65" s="2486"/>
      <c r="E65" s="2486"/>
      <c r="F65" s="2486"/>
      <c r="G65" s="2486"/>
      <c r="H65" s="2486"/>
      <c r="I65" s="2486"/>
      <c r="J65" s="159"/>
      <c r="K65" s="160"/>
      <c r="L65" s="671"/>
    </row>
    <row r="66" spans="2:13" ht="13.8" thickBot="1" x14ac:dyDescent="0.3">
      <c r="B66" s="2266" t="s">
        <v>457</v>
      </c>
      <c r="C66" s="2267"/>
      <c r="D66" s="2471"/>
      <c r="E66" s="2471"/>
      <c r="F66" s="2471"/>
      <c r="G66" s="2471"/>
      <c r="H66" s="2471"/>
      <c r="I66" s="2471"/>
      <c r="J66" s="159">
        <f>'Maximum Rates'!D11</f>
        <v>60</v>
      </c>
      <c r="K66" s="762"/>
      <c r="L66" s="671" t="str">
        <f>IF(K66&lt;0.01,"",(J66*K66))</f>
        <v/>
      </c>
    </row>
    <row r="67" spans="2:13" ht="13.8" thickBot="1" x14ac:dyDescent="0.3">
      <c r="B67" s="2470"/>
      <c r="C67" s="2286"/>
      <c r="D67" s="2471"/>
      <c r="E67" s="2471"/>
      <c r="F67" s="2471"/>
      <c r="G67" s="2471"/>
      <c r="H67" s="2472"/>
      <c r="I67" s="2472"/>
      <c r="J67" s="138"/>
      <c r="K67" s="160"/>
      <c r="L67" s="1553">
        <f>SUM(L50:L66)</f>
        <v>0</v>
      </c>
    </row>
    <row r="68" spans="2:13" ht="16.2" thickBot="1" x14ac:dyDescent="0.35">
      <c r="B68" s="66"/>
      <c r="C68" s="141"/>
      <c r="D68" s="141"/>
      <c r="E68" s="141"/>
      <c r="F68" s="141"/>
      <c r="G68" s="141"/>
      <c r="H68" s="1000" t="s">
        <v>84</v>
      </c>
      <c r="I68" s="268"/>
      <c r="J68" s="268"/>
      <c r="K68" s="2468">
        <f>SUM(L50:L66)</f>
        <v>0</v>
      </c>
      <c r="L68" s="2469"/>
      <c r="M68" s="430">
        <f>IF(K68=0,0,1)</f>
        <v>0</v>
      </c>
    </row>
    <row r="69" spans="2:13" ht="16.2" thickBot="1" x14ac:dyDescent="0.3">
      <c r="B69" s="723" t="s">
        <v>912</v>
      </c>
      <c r="C69" s="724"/>
      <c r="D69" s="724"/>
      <c r="E69" s="724"/>
      <c r="F69" s="724"/>
      <c r="G69" s="724"/>
      <c r="H69" s="724"/>
      <c r="I69" s="724"/>
      <c r="J69" s="724"/>
      <c r="K69" s="724"/>
      <c r="L69" s="725"/>
      <c r="M69" s="430"/>
    </row>
    <row r="70" spans="2:13" ht="15.6" x14ac:dyDescent="0.3">
      <c r="B70" s="782" t="s">
        <v>637</v>
      </c>
      <c r="C70" s="783"/>
      <c r="D70" s="783"/>
      <c r="E70" s="783"/>
      <c r="F70" s="783"/>
      <c r="G70" s="783"/>
      <c r="H70" s="783"/>
      <c r="I70" s="783"/>
      <c r="J70" s="783"/>
      <c r="K70" s="783"/>
      <c r="L70" s="784"/>
      <c r="M70" s="430"/>
    </row>
    <row r="71" spans="2:13" ht="14.4" thickBot="1" x14ac:dyDescent="0.3">
      <c r="B71" s="785" t="s">
        <v>639</v>
      </c>
      <c r="C71" s="786"/>
      <c r="D71" s="786"/>
      <c r="E71" s="786"/>
      <c r="F71" s="786"/>
      <c r="G71" s="786"/>
      <c r="H71" s="786"/>
      <c r="I71" s="786"/>
      <c r="J71" s="786"/>
      <c r="K71" s="786"/>
      <c r="L71" s="787"/>
      <c r="M71" s="430"/>
    </row>
    <row r="72" spans="2:13" ht="14.4" thickBot="1" x14ac:dyDescent="0.3">
      <c r="B72" s="778" t="s">
        <v>1145</v>
      </c>
      <c r="C72" s="779"/>
      <c r="D72" s="779"/>
      <c r="E72" s="779"/>
      <c r="F72" s="779"/>
      <c r="G72" s="779"/>
      <c r="H72" s="779"/>
      <c r="I72" s="779"/>
      <c r="J72" s="779"/>
      <c r="K72" s="1557">
        <f>IF(SUM(K117)=0,0,1)</f>
        <v>0</v>
      </c>
      <c r="L72" s="780"/>
    </row>
    <row r="73" spans="2:13" ht="13.8" thickBot="1" x14ac:dyDescent="0.3">
      <c r="B73" s="952" t="s">
        <v>1285</v>
      </c>
      <c r="C73" s="949"/>
      <c r="D73" s="949"/>
      <c r="E73" s="781"/>
      <c r="F73" s="781"/>
      <c r="G73" s="781"/>
      <c r="H73" s="781"/>
      <c r="I73" s="781"/>
      <c r="J73" s="949"/>
      <c r="K73" s="950"/>
      <c r="L73" s="951"/>
    </row>
    <row r="74" spans="2:13" ht="13.8" thickBot="1" x14ac:dyDescent="0.3">
      <c r="B74" s="2266" t="s">
        <v>453</v>
      </c>
      <c r="C74" s="2267"/>
      <c r="D74" s="2471"/>
      <c r="E74" s="2471"/>
      <c r="F74" s="2471"/>
      <c r="G74" s="2471"/>
      <c r="H74" s="2471"/>
      <c r="I74" s="2471"/>
      <c r="J74" s="159">
        <f>'Maximum Rates'!D5*'Maximum Rates'!C46</f>
        <v>183</v>
      </c>
      <c r="K74" s="762"/>
      <c r="L74" s="671" t="str">
        <f>IF(K74&lt;0.01,"",(J74*K74))</f>
        <v/>
      </c>
    </row>
    <row r="75" spans="2:13" x14ac:dyDescent="0.25">
      <c r="B75" s="2470"/>
      <c r="C75" s="2286"/>
      <c r="D75" s="2471"/>
      <c r="E75" s="2471"/>
      <c r="F75" s="2471"/>
      <c r="G75" s="2471"/>
      <c r="H75" s="2471"/>
      <c r="I75" s="2471"/>
      <c r="J75" s="159"/>
      <c r="K75" s="160"/>
      <c r="L75" s="671"/>
    </row>
    <row r="76" spans="2:13" x14ac:dyDescent="0.25">
      <c r="B76" s="998"/>
      <c r="C76" s="999"/>
      <c r="D76" s="2471"/>
      <c r="E76" s="2471"/>
      <c r="F76" s="2471"/>
      <c r="G76" s="2471"/>
      <c r="H76" s="2471"/>
      <c r="I76" s="2471"/>
      <c r="J76" s="159"/>
      <c r="K76" s="160"/>
      <c r="L76" s="671"/>
    </row>
    <row r="77" spans="2:13" x14ac:dyDescent="0.25">
      <c r="B77" s="998"/>
      <c r="C77" s="999"/>
      <c r="D77" s="2471"/>
      <c r="E77" s="2471"/>
      <c r="F77" s="2471"/>
      <c r="G77" s="2471"/>
      <c r="H77" s="2471"/>
      <c r="I77" s="2471"/>
      <c r="J77" s="159"/>
      <c r="K77" s="160"/>
      <c r="L77" s="671"/>
    </row>
    <row r="78" spans="2:13" x14ac:dyDescent="0.25">
      <c r="B78" s="998"/>
      <c r="C78" s="999"/>
      <c r="D78" s="2471"/>
      <c r="E78" s="2471"/>
      <c r="F78" s="2471"/>
      <c r="G78" s="2471"/>
      <c r="H78" s="2471"/>
      <c r="I78" s="2471"/>
      <c r="J78" s="159"/>
      <c r="K78" s="160"/>
      <c r="L78" s="671"/>
    </row>
    <row r="79" spans="2:13" x14ac:dyDescent="0.25">
      <c r="B79" s="998"/>
      <c r="C79" s="999"/>
      <c r="D79" s="2471"/>
      <c r="E79" s="2471"/>
      <c r="F79" s="2471"/>
      <c r="G79" s="2471"/>
      <c r="H79" s="2471"/>
      <c r="I79" s="2471"/>
      <c r="J79" s="159"/>
      <c r="K79" s="160"/>
      <c r="L79" s="671"/>
    </row>
    <row r="80" spans="2:13" x14ac:dyDescent="0.25">
      <c r="B80" s="2470"/>
      <c r="C80" s="2286"/>
      <c r="D80" s="2471"/>
      <c r="E80" s="2471"/>
      <c r="F80" s="2471"/>
      <c r="G80" s="2471"/>
      <c r="H80" s="2471"/>
      <c r="I80" s="2471"/>
      <c r="J80" s="159"/>
      <c r="K80" s="160"/>
      <c r="L80" s="671"/>
    </row>
    <row r="81" spans="2:12" ht="13.8" thickBot="1" x14ac:dyDescent="0.3">
      <c r="B81" s="998"/>
      <c r="C81" s="999"/>
      <c r="D81" s="2471"/>
      <c r="E81" s="2471"/>
      <c r="F81" s="2471"/>
      <c r="G81" s="2471"/>
      <c r="H81" s="2471"/>
      <c r="I81" s="2471"/>
      <c r="J81" s="159"/>
      <c r="K81" s="160"/>
      <c r="L81" s="671"/>
    </row>
    <row r="82" spans="2:12" ht="13.8" thickBot="1" x14ac:dyDescent="0.3">
      <c r="B82" s="2266" t="s">
        <v>454</v>
      </c>
      <c r="C82" s="2267"/>
      <c r="D82" s="2471"/>
      <c r="E82" s="2471"/>
      <c r="F82" s="2471"/>
      <c r="G82" s="2471"/>
      <c r="H82" s="2471"/>
      <c r="I82" s="2471"/>
      <c r="J82" s="159">
        <f>'Maximum Rates'!D6*'Maximum Rates'!C46</f>
        <v>210</v>
      </c>
      <c r="K82" s="762"/>
      <c r="L82" s="671" t="str">
        <f>IF(K82&lt;0.01,"",(J82*K82))</f>
        <v/>
      </c>
    </row>
    <row r="83" spans="2:12" x14ac:dyDescent="0.25">
      <c r="B83" s="2470"/>
      <c r="C83" s="2286"/>
      <c r="D83" s="2471"/>
      <c r="E83" s="2471"/>
      <c r="F83" s="2471"/>
      <c r="G83" s="2471"/>
      <c r="H83" s="2471"/>
      <c r="I83" s="2471"/>
      <c r="J83" s="159"/>
      <c r="K83" s="160"/>
      <c r="L83" s="671"/>
    </row>
    <row r="84" spans="2:12" x14ac:dyDescent="0.25">
      <c r="B84" s="998"/>
      <c r="C84" s="999"/>
      <c r="D84" s="2471"/>
      <c r="E84" s="2471"/>
      <c r="F84" s="2471"/>
      <c r="G84" s="2471"/>
      <c r="H84" s="2471"/>
      <c r="I84" s="2471"/>
      <c r="J84" s="159"/>
      <c r="K84" s="160"/>
      <c r="L84" s="671"/>
    </row>
    <row r="85" spans="2:12" x14ac:dyDescent="0.25">
      <c r="B85" s="998"/>
      <c r="C85" s="999"/>
      <c r="D85" s="2471"/>
      <c r="E85" s="2471"/>
      <c r="F85" s="2471"/>
      <c r="G85" s="2471"/>
      <c r="H85" s="2471"/>
      <c r="I85" s="2471"/>
      <c r="J85" s="159"/>
      <c r="K85" s="160"/>
      <c r="L85" s="671"/>
    </row>
    <row r="86" spans="2:12" x14ac:dyDescent="0.25">
      <c r="B86" s="998"/>
      <c r="C86" s="999"/>
      <c r="D86" s="2471"/>
      <c r="E86" s="2471"/>
      <c r="F86" s="2471"/>
      <c r="G86" s="2471"/>
      <c r="H86" s="2471"/>
      <c r="I86" s="2471"/>
      <c r="J86" s="159"/>
      <c r="K86" s="160"/>
      <c r="L86" s="671"/>
    </row>
    <row r="87" spans="2:12" ht="13.8" thickBot="1" x14ac:dyDescent="0.3">
      <c r="B87" s="2470"/>
      <c r="C87" s="2286"/>
      <c r="D87" s="2471"/>
      <c r="E87" s="2471"/>
      <c r="F87" s="2471"/>
      <c r="G87" s="2471"/>
      <c r="H87" s="2471"/>
      <c r="I87" s="2471"/>
      <c r="J87" s="159"/>
      <c r="K87" s="160"/>
      <c r="L87" s="671"/>
    </row>
    <row r="88" spans="2:12" ht="13.8" thickBot="1" x14ac:dyDescent="0.3">
      <c r="B88" s="2266" t="s">
        <v>27</v>
      </c>
      <c r="C88" s="2267"/>
      <c r="D88" s="2471"/>
      <c r="E88" s="2471"/>
      <c r="F88" s="2471"/>
      <c r="G88" s="2471"/>
      <c r="H88" s="2471"/>
      <c r="I88" s="2471"/>
      <c r="J88" s="159">
        <f>('Maximum Rates'!C46*'Maximum Rates'!D7)</f>
        <v>153</v>
      </c>
      <c r="K88" s="762"/>
      <c r="L88" s="671" t="str">
        <f>IF(K88&lt;0.01,"",(J88*K88))</f>
        <v/>
      </c>
    </row>
    <row r="89" spans="2:12" x14ac:dyDescent="0.25">
      <c r="B89" s="2266" t="s">
        <v>796</v>
      </c>
      <c r="C89" s="2267"/>
      <c r="D89" s="2471"/>
      <c r="E89" s="2471"/>
      <c r="F89" s="2471"/>
      <c r="G89" s="2471"/>
      <c r="H89" s="2471"/>
      <c r="I89" s="2471"/>
      <c r="J89" s="159"/>
      <c r="K89" s="160"/>
      <c r="L89" s="671"/>
    </row>
    <row r="90" spans="2:12" x14ac:dyDescent="0.25">
      <c r="B90" s="996"/>
      <c r="C90" s="997"/>
      <c r="D90" s="2471"/>
      <c r="E90" s="2471"/>
      <c r="F90" s="2471"/>
      <c r="G90" s="2471"/>
      <c r="H90" s="2471"/>
      <c r="I90" s="2471"/>
      <c r="J90" s="159"/>
      <c r="K90" s="160"/>
      <c r="L90" s="671"/>
    </row>
    <row r="91" spans="2:12" x14ac:dyDescent="0.25">
      <c r="B91" s="996"/>
      <c r="C91" s="997"/>
      <c r="D91" s="2471"/>
      <c r="E91" s="2471"/>
      <c r="F91" s="2471"/>
      <c r="G91" s="2471"/>
      <c r="H91" s="2471"/>
      <c r="I91" s="2471"/>
      <c r="J91" s="159"/>
      <c r="K91" s="160"/>
      <c r="L91" s="671"/>
    </row>
    <row r="92" spans="2:12" x14ac:dyDescent="0.25">
      <c r="B92" s="996"/>
      <c r="C92" s="997"/>
      <c r="D92" s="2471"/>
      <c r="E92" s="2471"/>
      <c r="F92" s="2471"/>
      <c r="G92" s="2471"/>
      <c r="H92" s="2471"/>
      <c r="I92" s="2471"/>
      <c r="J92" s="159"/>
      <c r="K92" s="160"/>
      <c r="L92" s="671"/>
    </row>
    <row r="93" spans="2:12" x14ac:dyDescent="0.25">
      <c r="B93" s="996"/>
      <c r="C93" s="997"/>
      <c r="D93" s="2471"/>
      <c r="E93" s="2471"/>
      <c r="F93" s="2471"/>
      <c r="G93" s="2471"/>
      <c r="H93" s="2471"/>
      <c r="I93" s="2471"/>
      <c r="J93" s="159"/>
      <c r="K93" s="160"/>
      <c r="L93" s="671"/>
    </row>
    <row r="94" spans="2:12" x14ac:dyDescent="0.25">
      <c r="B94" s="996"/>
      <c r="C94" s="997"/>
      <c r="D94" s="2471"/>
      <c r="E94" s="2471"/>
      <c r="F94" s="2471"/>
      <c r="G94" s="2471"/>
      <c r="H94" s="2471"/>
      <c r="I94" s="2471"/>
      <c r="J94" s="159"/>
      <c r="K94" s="160"/>
      <c r="L94" s="671"/>
    </row>
    <row r="95" spans="2:12" x14ac:dyDescent="0.25">
      <c r="B95" s="996"/>
      <c r="C95" s="997"/>
      <c r="D95" s="2471"/>
      <c r="E95" s="2471"/>
      <c r="F95" s="2471"/>
      <c r="G95" s="2471"/>
      <c r="H95" s="2471"/>
      <c r="I95" s="2471"/>
      <c r="J95" s="159"/>
      <c r="K95" s="160"/>
      <c r="L95" s="671"/>
    </row>
    <row r="96" spans="2:12" x14ac:dyDescent="0.25">
      <c r="B96" s="996"/>
      <c r="C96" s="997"/>
      <c r="D96" s="2471"/>
      <c r="E96" s="2471"/>
      <c r="F96" s="2471"/>
      <c r="G96" s="2471"/>
      <c r="H96" s="2471"/>
      <c r="I96" s="2471"/>
      <c r="J96" s="159"/>
      <c r="K96" s="160"/>
      <c r="L96" s="671"/>
    </row>
    <row r="97" spans="2:12" x14ac:dyDescent="0.25">
      <c r="B97" s="996"/>
      <c r="C97" s="997"/>
      <c r="D97" s="2471"/>
      <c r="E97" s="2471"/>
      <c r="F97" s="2471"/>
      <c r="G97" s="2471"/>
      <c r="H97" s="2471"/>
      <c r="I97" s="2471"/>
      <c r="J97" s="159"/>
      <c r="K97" s="160"/>
      <c r="L97" s="671"/>
    </row>
    <row r="98" spans="2:12" x14ac:dyDescent="0.25">
      <c r="B98" s="996"/>
      <c r="C98" s="997"/>
      <c r="D98" s="2471"/>
      <c r="E98" s="2471"/>
      <c r="F98" s="2471"/>
      <c r="G98" s="2471"/>
      <c r="H98" s="2471"/>
      <c r="I98" s="2471"/>
      <c r="J98" s="159"/>
      <c r="K98" s="160"/>
      <c r="L98" s="671"/>
    </row>
    <row r="99" spans="2:12" ht="13.8" thickBot="1" x14ac:dyDescent="0.3">
      <c r="B99" s="2470"/>
      <c r="C99" s="2286"/>
      <c r="D99" s="2471"/>
      <c r="E99" s="2471"/>
      <c r="F99" s="2471"/>
      <c r="G99" s="2471"/>
      <c r="H99" s="2471"/>
      <c r="I99" s="2471"/>
      <c r="J99" s="159"/>
      <c r="K99" s="160"/>
      <c r="L99" s="671"/>
    </row>
    <row r="100" spans="2:12" ht="13.8" thickBot="1" x14ac:dyDescent="0.3">
      <c r="B100" s="996" t="s">
        <v>869</v>
      </c>
      <c r="C100" s="999"/>
      <c r="D100" s="2473"/>
      <c r="E100" s="2474"/>
      <c r="F100" s="2474"/>
      <c r="G100" s="2474"/>
      <c r="H100" s="2474"/>
      <c r="I100" s="2475"/>
      <c r="J100" s="159">
        <f>'Maximum Rates'!C46*'Maximum Rates'!D9</f>
        <v>111</v>
      </c>
      <c r="K100" s="762"/>
      <c r="L100" s="671" t="str">
        <f>IF(K100&lt;0.01,"",(J100*K100))</f>
        <v/>
      </c>
    </row>
    <row r="101" spans="2:12" x14ac:dyDescent="0.25">
      <c r="B101" s="996"/>
      <c r="C101" s="999"/>
      <c r="D101" s="2476"/>
      <c r="E101" s="2477"/>
      <c r="F101" s="2477"/>
      <c r="G101" s="2477"/>
      <c r="H101" s="2477"/>
      <c r="I101" s="2478"/>
      <c r="J101" s="159"/>
      <c r="K101" s="138"/>
      <c r="L101" s="671"/>
    </row>
    <row r="102" spans="2:12" x14ac:dyDescent="0.25">
      <c r="B102" s="996"/>
      <c r="C102" s="999"/>
      <c r="D102" s="2476"/>
      <c r="E102" s="2477"/>
      <c r="F102" s="2477"/>
      <c r="G102" s="2477"/>
      <c r="H102" s="2477"/>
      <c r="I102" s="2478"/>
      <c r="J102" s="159"/>
      <c r="K102" s="138"/>
      <c r="L102" s="671"/>
    </row>
    <row r="103" spans="2:12" x14ac:dyDescent="0.25">
      <c r="B103" s="996"/>
      <c r="C103" s="999"/>
      <c r="D103" s="2476"/>
      <c r="E103" s="2477"/>
      <c r="F103" s="2477"/>
      <c r="G103" s="2477"/>
      <c r="H103" s="2477"/>
      <c r="I103" s="2478"/>
      <c r="J103" s="159"/>
      <c r="K103" s="138"/>
      <c r="L103" s="671"/>
    </row>
    <row r="104" spans="2:12" x14ac:dyDescent="0.25">
      <c r="B104" s="996"/>
      <c r="C104" s="999"/>
      <c r="D104" s="2476"/>
      <c r="E104" s="2477"/>
      <c r="F104" s="2477"/>
      <c r="G104" s="2477"/>
      <c r="H104" s="2477"/>
      <c r="I104" s="2478"/>
      <c r="J104" s="159"/>
      <c r="K104" s="138"/>
      <c r="L104" s="671"/>
    </row>
    <row r="105" spans="2:12" x14ac:dyDescent="0.25">
      <c r="B105" s="996"/>
      <c r="C105" s="999"/>
      <c r="D105" s="2476"/>
      <c r="E105" s="2477"/>
      <c r="F105" s="2477"/>
      <c r="G105" s="2477"/>
      <c r="H105" s="2477"/>
      <c r="I105" s="2478"/>
      <c r="J105" s="159"/>
      <c r="K105" s="138"/>
      <c r="L105" s="671"/>
    </row>
    <row r="106" spans="2:12" x14ac:dyDescent="0.25">
      <c r="B106" s="996"/>
      <c r="C106" s="999"/>
      <c r="D106" s="2476"/>
      <c r="E106" s="2477"/>
      <c r="F106" s="2477"/>
      <c r="G106" s="2477"/>
      <c r="H106" s="2477"/>
      <c r="I106" s="2478"/>
      <c r="J106" s="159"/>
      <c r="K106" s="138"/>
      <c r="L106" s="671"/>
    </row>
    <row r="107" spans="2:12" x14ac:dyDescent="0.25">
      <c r="B107" s="996"/>
      <c r="C107" s="999"/>
      <c r="D107" s="2476"/>
      <c r="E107" s="2477"/>
      <c r="F107" s="2477"/>
      <c r="G107" s="2477"/>
      <c r="H107" s="2477"/>
      <c r="I107" s="2478"/>
      <c r="J107" s="159"/>
      <c r="K107" s="138"/>
      <c r="L107" s="671"/>
    </row>
    <row r="108" spans="2:12" x14ac:dyDescent="0.25">
      <c r="B108" s="996"/>
      <c r="C108" s="999"/>
      <c r="D108" s="2476"/>
      <c r="E108" s="2477"/>
      <c r="F108" s="2477"/>
      <c r="G108" s="2477"/>
      <c r="H108" s="2477"/>
      <c r="I108" s="2478"/>
      <c r="J108" s="159"/>
      <c r="K108" s="138"/>
      <c r="L108" s="671"/>
    </row>
    <row r="109" spans="2:12" x14ac:dyDescent="0.25">
      <c r="B109" s="996"/>
      <c r="C109" s="999"/>
      <c r="D109" s="2476"/>
      <c r="E109" s="2477"/>
      <c r="F109" s="2477"/>
      <c r="G109" s="2477"/>
      <c r="H109" s="2477"/>
      <c r="I109" s="2478"/>
      <c r="J109" s="159"/>
      <c r="K109" s="138"/>
      <c r="L109" s="671"/>
    </row>
    <row r="110" spans="2:12" x14ac:dyDescent="0.25">
      <c r="B110" s="998"/>
      <c r="C110" s="999"/>
      <c r="D110" s="2476"/>
      <c r="E110" s="2477"/>
      <c r="F110" s="2477"/>
      <c r="G110" s="2477"/>
      <c r="H110" s="2477"/>
      <c r="I110" s="2478"/>
      <c r="J110" s="159"/>
      <c r="K110" s="160"/>
      <c r="L110" s="671"/>
    </row>
    <row r="111" spans="2:12" x14ac:dyDescent="0.25">
      <c r="B111" s="998"/>
      <c r="C111" s="999"/>
      <c r="D111" s="2479"/>
      <c r="E111" s="2480"/>
      <c r="F111" s="2480"/>
      <c r="G111" s="2480"/>
      <c r="H111" s="2480"/>
      <c r="I111" s="2481"/>
      <c r="J111" s="159"/>
      <c r="K111" s="160"/>
      <c r="L111" s="671"/>
    </row>
    <row r="112" spans="2:12" x14ac:dyDescent="0.25">
      <c r="B112" s="68"/>
      <c r="C112" s="138"/>
      <c r="D112" s="138"/>
      <c r="E112" s="138"/>
      <c r="F112" s="138"/>
      <c r="G112" s="138"/>
      <c r="H112" s="138"/>
      <c r="I112" s="138"/>
      <c r="J112" s="138"/>
      <c r="K112" s="138"/>
      <c r="L112" s="305"/>
    </row>
    <row r="113" spans="2:13" x14ac:dyDescent="0.25">
      <c r="B113" s="68"/>
      <c r="C113" s="138"/>
      <c r="D113" s="138"/>
      <c r="E113" s="138"/>
      <c r="F113" s="138"/>
      <c r="G113" s="138"/>
      <c r="H113" s="138"/>
      <c r="I113" s="138"/>
      <c r="J113" s="138"/>
      <c r="K113" s="138"/>
      <c r="L113" s="305"/>
    </row>
    <row r="114" spans="2:13" x14ac:dyDescent="0.25">
      <c r="B114" s="68"/>
      <c r="C114" s="138"/>
      <c r="D114" s="138"/>
      <c r="E114" s="138"/>
      <c r="F114" s="138"/>
      <c r="G114" s="138"/>
      <c r="H114" s="138"/>
      <c r="I114" s="138"/>
      <c r="J114" s="138"/>
      <c r="K114" s="138"/>
      <c r="L114" s="305"/>
    </row>
    <row r="115" spans="2:13" x14ac:dyDescent="0.25">
      <c r="B115" s="68"/>
      <c r="C115" s="138"/>
      <c r="D115" s="138"/>
      <c r="E115" s="138"/>
      <c r="F115" s="138"/>
      <c r="G115" s="138"/>
      <c r="H115" s="138"/>
      <c r="I115" s="138"/>
      <c r="J115" s="138"/>
      <c r="K115" s="138"/>
      <c r="L115" s="305"/>
    </row>
    <row r="116" spans="2:13" ht="13.8" thickBot="1" x14ac:dyDescent="0.3">
      <c r="B116" s="68"/>
      <c r="C116" s="138"/>
      <c r="D116" s="138"/>
      <c r="E116" s="138"/>
      <c r="F116" s="138"/>
      <c r="G116" s="138"/>
      <c r="H116" s="138"/>
      <c r="I116" s="138"/>
      <c r="J116" s="138"/>
      <c r="K116" s="138"/>
      <c r="L116" s="305"/>
    </row>
    <row r="117" spans="2:13" ht="16.2" thickBot="1" x14ac:dyDescent="0.35">
      <c r="B117" s="66"/>
      <c r="C117" s="141"/>
      <c r="D117" s="141"/>
      <c r="E117" s="141"/>
      <c r="F117" s="141"/>
      <c r="G117" s="141"/>
      <c r="H117" s="1000" t="s">
        <v>1145</v>
      </c>
      <c r="I117" s="268"/>
      <c r="J117" s="268"/>
      <c r="K117" s="2468">
        <f>SUM(L74:L115)</f>
        <v>0</v>
      </c>
      <c r="L117" s="2469"/>
      <c r="M117" s="430">
        <f>IF(K117=0,0,1)</f>
        <v>0</v>
      </c>
    </row>
  </sheetData>
  <sheetProtection algorithmName="SHA-512" hashValue="6tEt0gxtUs77oBMMoxhihuNH6G2af6hhANxoft8tGT31vpepHGjjabwz3tekEQdjMD1FPZxQKjCrdd73wM+R6A==" saltValue="KdRz9iR8s6DNVITycxNLCw==" spinCount="100000" sheet="1" objects="1" scenarios="1" selectLockedCells="1"/>
  <protectedRanges>
    <protectedRange sqref="D7:I24 K7 K11 K14 K17 K20 K23 D28:I43 K28 K32 K35 K38 K41 D50:I67 K50 K54 K57 K60 K63 K66 K74 K82 K88 D74:I111 K100" name="Range3"/>
  </protectedRanges>
  <customSheetViews>
    <customSheetView guid="{BC429C65-53B8-4F97-88D2-74ECCD734800}" showGridLines="0" showRowCol="0" state="hidden">
      <selection activeCell="B3" sqref="B3:J3"/>
      <rowBreaks count="1" manualBreakCount="1">
        <brk id="47" min="1" max="11" man="1"/>
      </rowBreaks>
      <pageMargins left="0.25" right="0.25" top="0.75" bottom="0.75" header="0" footer="0.3"/>
      <printOptions horizontalCentered="1"/>
      <pageSetup fitToHeight="2" orientation="portrait" r:id="rId1"/>
      <headerFooter>
        <oddHeader>&amp;RPR</oddHeader>
      </headerFooter>
    </customSheetView>
  </customSheetViews>
  <mergeCells count="74">
    <mergeCell ref="K117:L117"/>
    <mergeCell ref="D88:I99"/>
    <mergeCell ref="B89:C89"/>
    <mergeCell ref="D100:I111"/>
    <mergeCell ref="B99:C99"/>
    <mergeCell ref="B88:C88"/>
    <mergeCell ref="B74:C74"/>
    <mergeCell ref="D74:I81"/>
    <mergeCell ref="B82:C82"/>
    <mergeCell ref="D82:I87"/>
    <mergeCell ref="B83:C83"/>
    <mergeCell ref="B87:C87"/>
    <mergeCell ref="B75:C75"/>
    <mergeCell ref="B80:C80"/>
    <mergeCell ref="B67:C67"/>
    <mergeCell ref="B64:C64"/>
    <mergeCell ref="B65:C65"/>
    <mergeCell ref="B66:C66"/>
    <mergeCell ref="D63:I65"/>
    <mergeCell ref="D66:I67"/>
    <mergeCell ref="B59:C59"/>
    <mergeCell ref="B63:C63"/>
    <mergeCell ref="D57:I59"/>
    <mergeCell ref="B55:C55"/>
    <mergeCell ref="B56:C56"/>
    <mergeCell ref="B57:C57"/>
    <mergeCell ref="D54:I56"/>
    <mergeCell ref="B54:C54"/>
    <mergeCell ref="D60:I62"/>
    <mergeCell ref="B58:C58"/>
    <mergeCell ref="B52:C52"/>
    <mergeCell ref="D50:I53"/>
    <mergeCell ref="B42:C42"/>
    <mergeCell ref="B43:C43"/>
    <mergeCell ref="D41:I43"/>
    <mergeCell ref="B41:C41"/>
    <mergeCell ref="H44:K44"/>
    <mergeCell ref="B50:C50"/>
    <mergeCell ref="B30:C30"/>
    <mergeCell ref="D32:I34"/>
    <mergeCell ref="B32:C32"/>
    <mergeCell ref="D38:I40"/>
    <mergeCell ref="B51:C51"/>
    <mergeCell ref="B36:C36"/>
    <mergeCell ref="B37:C37"/>
    <mergeCell ref="D35:I37"/>
    <mergeCell ref="B33:C33"/>
    <mergeCell ref="B34:C34"/>
    <mergeCell ref="B35:C35"/>
    <mergeCell ref="D11:I13"/>
    <mergeCell ref="B11:C11"/>
    <mergeCell ref="D17:I19"/>
    <mergeCell ref="B29:C29"/>
    <mergeCell ref="B23:C23"/>
    <mergeCell ref="D20:I22"/>
    <mergeCell ref="B24:C24"/>
    <mergeCell ref="H25:K25"/>
    <mergeCell ref="B28:C28"/>
    <mergeCell ref="K68:L68"/>
    <mergeCell ref="B7:C7"/>
    <mergeCell ref="B8:C8"/>
    <mergeCell ref="B9:C9"/>
    <mergeCell ref="D7:I10"/>
    <mergeCell ref="B15:C15"/>
    <mergeCell ref="B16:C16"/>
    <mergeCell ref="B20:C20"/>
    <mergeCell ref="D14:I16"/>
    <mergeCell ref="B12:C12"/>
    <mergeCell ref="D23:I24"/>
    <mergeCell ref="D28:I31"/>
    <mergeCell ref="B21:C21"/>
    <mergeCell ref="B22:C22"/>
    <mergeCell ref="B13:C13"/>
    <mergeCell ref="B14:C14"/>
  </mergeCells>
  <printOptions horizontalCentered="1"/>
  <pageMargins left="0.5" right="0.5" top="0.75" bottom="1.75" header="0" footer="0"/>
  <pageSetup scale="97" fitToHeight="2" orientation="portrait" r:id="rId2"/>
  <headerFooter>
    <oddHeader>&amp;RPR</oddHeader>
    <oddFooter>&amp;LADEM Form 32 DRAFT &amp;C2/2025&amp;R*M9 DRAFT</oddFooter>
  </headerFooter>
  <rowBreaks count="2" manualBreakCount="2">
    <brk id="44" min="1" max="11" man="1"/>
    <brk id="68" min="1" max="11" man="1"/>
  </rowBreaks>
  <drawing r:id="rId3"/>
  <legacyDrawing r:id="rId4"/>
  <mc:AlternateContent xmlns:mc="http://schemas.openxmlformats.org/markup-compatibility/2006">
    <mc:Choice Requires="x14">
      <controls>
        <mc:AlternateContent xmlns:mc="http://schemas.openxmlformats.org/markup-compatibility/2006">
          <mc:Choice Requires="x14">
            <control shapeId="33794" r:id="rId5" name="Button 2">
              <controlPr defaultSize="0" print="0" autoFill="0" autoPict="0" macro="[0]!deleteprfinputs">
                <anchor>
                  <from>
                    <xdr:col>0</xdr:col>
                    <xdr:colOff>152400</xdr:colOff>
                    <xdr:row>14</xdr:row>
                    <xdr:rowOff>137160</xdr:rowOff>
                  </from>
                  <to>
                    <xdr:col>0</xdr:col>
                    <xdr:colOff>830580</xdr:colOff>
                    <xdr:row>18</xdr:row>
                    <xdr:rowOff>144780</xdr:rowOff>
                  </to>
                </anchor>
              </controlPr>
            </control>
          </mc:Choice>
        </mc:AlternateContent>
        <mc:AlternateContent xmlns:mc="http://schemas.openxmlformats.org/markup-compatibility/2006">
          <mc:Choice Requires="x14">
            <control shapeId="33795" r:id="rId6" name="Button 3">
              <controlPr defaultSize="0" print="0" autoFill="0" autoPict="0" macro="[0]!nine">
                <anchor>
                  <from>
                    <xdr:col>0</xdr:col>
                    <xdr:colOff>152400</xdr:colOff>
                    <xdr:row>19</xdr:row>
                    <xdr:rowOff>137160</xdr:rowOff>
                  </from>
                  <to>
                    <xdr:col>0</xdr:col>
                    <xdr:colOff>822960</xdr:colOff>
                    <xdr:row>23</xdr:row>
                    <xdr:rowOff>45720</xdr:rowOff>
                  </to>
                </anchor>
              </controlPr>
            </control>
          </mc:Choice>
        </mc:AlternateContent>
        <mc:AlternateContent xmlns:mc="http://schemas.openxmlformats.org/markup-compatibility/2006">
          <mc:Choice Requires="x14">
            <control shapeId="33796" r:id="rId7" name="Button 4">
              <controlPr defaultSize="0" print="0" autoFill="0" autoPict="0" macro="[0]!twelve">
                <anchor moveWithCells="1">
                  <from>
                    <xdr:col>0</xdr:col>
                    <xdr:colOff>144780</xdr:colOff>
                    <xdr:row>24</xdr:row>
                    <xdr:rowOff>0</xdr:rowOff>
                  </from>
                  <to>
                    <xdr:col>0</xdr:col>
                    <xdr:colOff>830580</xdr:colOff>
                    <xdr:row>27</xdr:row>
                    <xdr:rowOff>7620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theme="0" tint="-4.9989318521683403E-2"/>
  </sheetPr>
  <dimension ref="A1:K55"/>
  <sheetViews>
    <sheetView showGridLines="0" showRowColHeaders="0" zoomScaleNormal="100" workbookViewId="0">
      <selection activeCell="D5" sqref="D5:F5"/>
    </sheetView>
  </sheetViews>
  <sheetFormatPr defaultColWidth="8.109375" defaultRowHeight="13.2" x14ac:dyDescent="0.25"/>
  <cols>
    <col min="1" max="1" width="13.6640625" style="2419" customWidth="1"/>
    <col min="2" max="4" width="11.44140625" customWidth="1"/>
    <col min="5" max="5" width="7.109375" customWidth="1"/>
    <col min="6" max="6" width="6.33203125" customWidth="1"/>
    <col min="7" max="7" width="9" customWidth="1"/>
    <col min="8" max="8" width="7.5546875" bestFit="1" customWidth="1"/>
    <col min="9" max="9" width="9.44140625" customWidth="1"/>
    <col min="10" max="10" width="9.88671875" customWidth="1"/>
    <col min="11" max="11" width="13.5546875" customWidth="1"/>
  </cols>
  <sheetData>
    <row r="1" spans="1:11" ht="15.9" customHeight="1" x14ac:dyDescent="0.25">
      <c r="A1" s="2487"/>
    </row>
    <row r="2" spans="1:11" ht="15.9" customHeight="1" thickBot="1" x14ac:dyDescent="0.3">
      <c r="A2" s="2487"/>
    </row>
    <row r="3" spans="1:11" ht="15.9" customHeight="1" thickBot="1" x14ac:dyDescent="0.3">
      <c r="B3" s="1837" t="s">
        <v>1020</v>
      </c>
      <c r="C3" s="1838"/>
      <c r="D3" s="1838"/>
      <c r="E3" s="1838"/>
      <c r="F3" s="1838"/>
      <c r="G3" s="1838"/>
      <c r="H3" s="1838"/>
      <c r="I3" s="1838"/>
      <c r="J3" s="1838"/>
      <c r="K3" s="1839"/>
    </row>
    <row r="4" spans="1:11" ht="15.9" customHeight="1" thickBot="1" x14ac:dyDescent="0.3">
      <c r="B4" s="678" t="s">
        <v>1009</v>
      </c>
      <c r="C4" s="1826" t="s">
        <v>1008</v>
      </c>
      <c r="D4" s="1827"/>
      <c r="E4" s="1056" t="s">
        <v>1007</v>
      </c>
      <c r="F4" s="1826" t="s">
        <v>1010</v>
      </c>
      <c r="G4" s="1842"/>
      <c r="H4" s="1827"/>
      <c r="I4" s="1843" t="s">
        <v>1018</v>
      </c>
      <c r="J4" s="1843"/>
      <c r="K4" s="1844"/>
    </row>
    <row r="5" spans="1:11" ht="15.9" customHeight="1" thickBot="1" x14ac:dyDescent="0.3">
      <c r="B5" s="679" t="str">
        <f>IF('CP Part I Total'!$E$44=0,"",'CP Part I Total'!$E$44)</f>
        <v/>
      </c>
      <c r="C5" s="1840" t="str">
        <f>IF('CP Part I Info'!$F$11="","",'CP Part I Info'!$F$11)</f>
        <v/>
      </c>
      <c r="D5" s="1841"/>
      <c r="E5" s="1055" t="str">
        <f>IF('CP Part I Info'!$B$8="","",'CP Part I Info'!$B$8)</f>
        <v/>
      </c>
      <c r="F5" s="1840" t="str">
        <f>IF('CP Part I Info'!$B$11="","",'CP Part I Info'!$B$11)</f>
        <v/>
      </c>
      <c r="G5" s="1841"/>
      <c r="H5" s="1841"/>
      <c r="I5" s="1840" t="str">
        <f>IF('CP Part I Info'!$D$14="","",'CP Part I Info'!$D$14)</f>
        <v/>
      </c>
      <c r="J5" s="1841"/>
      <c r="K5" s="1845"/>
    </row>
    <row r="6" spans="1:11" ht="15.9" customHeight="1" thickBot="1" x14ac:dyDescent="0.3">
      <c r="B6" s="2032" t="s">
        <v>864</v>
      </c>
      <c r="C6" s="2033"/>
      <c r="D6" s="2033"/>
      <c r="E6" s="2033"/>
      <c r="F6" s="2033"/>
      <c r="G6" s="2033"/>
      <c r="H6" s="2033"/>
      <c r="I6" s="2033"/>
      <c r="J6" s="2033"/>
      <c r="K6" s="2034"/>
    </row>
    <row r="7" spans="1:11" ht="15.9" customHeight="1" thickBot="1" x14ac:dyDescent="0.35">
      <c r="B7" s="2043" t="s">
        <v>314</v>
      </c>
      <c r="C7" s="2044"/>
      <c r="D7" s="2044"/>
      <c r="E7" s="2044"/>
      <c r="F7" s="2044"/>
      <c r="G7" s="2044"/>
      <c r="H7" s="970" t="s">
        <v>215</v>
      </c>
      <c r="I7" s="971" t="s">
        <v>368</v>
      </c>
      <c r="J7" s="972" t="s">
        <v>431</v>
      </c>
      <c r="K7" s="973" t="s">
        <v>885</v>
      </c>
    </row>
    <row r="8" spans="1:11" ht="15.9" customHeight="1" thickBot="1" x14ac:dyDescent="0.35">
      <c r="B8" s="924"/>
      <c r="C8" s="925"/>
      <c r="D8" s="983"/>
      <c r="E8" s="984"/>
      <c r="F8" s="1758" t="s">
        <v>863</v>
      </c>
      <c r="G8" s="1759"/>
      <c r="H8" s="1759"/>
      <c r="I8" s="1759"/>
      <c r="J8" s="1760"/>
      <c r="K8" s="1761">
        <v>0</v>
      </c>
    </row>
    <row r="9" spans="1:11" ht="15.9" customHeight="1" thickBot="1" x14ac:dyDescent="0.3">
      <c r="B9" s="797" t="s">
        <v>865</v>
      </c>
      <c r="C9" s="798"/>
      <c r="D9" s="798"/>
      <c r="E9" s="798"/>
      <c r="F9" s="798"/>
      <c r="G9" s="798"/>
      <c r="H9" s="798"/>
      <c r="I9" s="798"/>
      <c r="J9" s="798"/>
      <c r="K9" s="799"/>
    </row>
    <row r="10" spans="1:11" ht="15.9" customHeight="1" thickBot="1" x14ac:dyDescent="0.35">
      <c r="B10" s="155"/>
      <c r="C10" s="157"/>
      <c r="D10" s="157"/>
      <c r="E10" s="157"/>
      <c r="F10" s="296" t="s">
        <v>862</v>
      </c>
      <c r="G10" s="293"/>
      <c r="H10" s="294"/>
      <c r="I10" s="293"/>
      <c r="J10" s="295"/>
      <c r="K10" s="1521">
        <v>0</v>
      </c>
    </row>
    <row r="11" spans="1:11" ht="17.399999999999999" customHeight="1" thickBot="1" x14ac:dyDescent="0.3">
      <c r="B11" s="723" t="s">
        <v>866</v>
      </c>
      <c r="C11" s="724"/>
      <c r="D11" s="724"/>
      <c r="E11" s="724"/>
      <c r="F11" s="724"/>
      <c r="G11" s="724"/>
      <c r="H11" s="724"/>
      <c r="I11" s="724"/>
      <c r="J11" s="724"/>
      <c r="K11" s="725"/>
    </row>
    <row r="12" spans="1:11" ht="15.9" customHeight="1" x14ac:dyDescent="0.25">
      <c r="B12" s="1421" t="s">
        <v>1370</v>
      </c>
      <c r="C12" s="1599"/>
      <c r="D12" s="1599"/>
      <c r="E12" s="1599"/>
      <c r="F12" s="1600"/>
      <c r="G12" s="1600"/>
      <c r="H12" s="1607">
        <v>3000</v>
      </c>
      <c r="I12" s="1608">
        <v>0</v>
      </c>
      <c r="J12" s="1601">
        <v>0</v>
      </c>
      <c r="K12" s="1609">
        <v>0</v>
      </c>
    </row>
    <row r="13" spans="1:11" ht="15.9" customHeight="1" x14ac:dyDescent="0.25">
      <c r="B13" s="200" t="s">
        <v>242</v>
      </c>
      <c r="C13" s="163"/>
      <c r="D13" s="163"/>
      <c r="E13" s="163"/>
      <c r="F13" s="165"/>
      <c r="G13" s="199"/>
      <c r="H13" s="1207">
        <v>58</v>
      </c>
      <c r="I13" s="202" t="s">
        <v>687</v>
      </c>
      <c r="J13" s="1784">
        <v>1</v>
      </c>
      <c r="K13" s="1209">
        <v>58</v>
      </c>
    </row>
    <row r="14" spans="1:11" ht="15.9" customHeight="1" x14ac:dyDescent="0.25">
      <c r="B14" s="200" t="s">
        <v>1424</v>
      </c>
      <c r="C14" s="163"/>
      <c r="D14" s="163"/>
      <c r="E14" s="163"/>
      <c r="F14" s="165"/>
      <c r="G14" s="199"/>
      <c r="H14" s="1207">
        <v>150</v>
      </c>
      <c r="I14" s="202" t="s">
        <v>1422</v>
      </c>
      <c r="J14" s="1784">
        <v>1</v>
      </c>
      <c r="K14" s="1209">
        <v>150</v>
      </c>
    </row>
    <row r="15" spans="1:11" ht="15.9" customHeight="1" x14ac:dyDescent="0.25">
      <c r="B15" s="200" t="s">
        <v>1426</v>
      </c>
      <c r="C15" s="163"/>
      <c r="D15" s="163"/>
      <c r="E15" s="163"/>
      <c r="F15" s="165"/>
      <c r="G15" s="199"/>
      <c r="H15" s="1207">
        <v>68</v>
      </c>
      <c r="I15" s="202" t="s">
        <v>395</v>
      </c>
      <c r="J15" s="1784">
        <v>1</v>
      </c>
      <c r="K15" s="1209">
        <v>68</v>
      </c>
    </row>
    <row r="16" spans="1:11" ht="15.9" customHeight="1" x14ac:dyDescent="0.25">
      <c r="B16" s="200" t="s">
        <v>691</v>
      </c>
      <c r="C16" s="163"/>
      <c r="D16" s="163"/>
      <c r="E16" s="1785"/>
      <c r="F16" s="1786"/>
      <c r="G16" s="1786"/>
      <c r="H16" s="1787"/>
      <c r="I16" s="441"/>
      <c r="J16" s="1784">
        <v>1</v>
      </c>
      <c r="K16" s="1209">
        <v>0</v>
      </c>
    </row>
    <row r="17" spans="2:11" ht="15.9" customHeight="1" x14ac:dyDescent="0.25">
      <c r="B17" s="200" t="s">
        <v>691</v>
      </c>
      <c r="C17" s="163"/>
      <c r="D17" s="163"/>
      <c r="E17" s="1785"/>
      <c r="F17" s="1786"/>
      <c r="G17" s="1788"/>
      <c r="H17" s="1789"/>
      <c r="I17" s="436"/>
      <c r="J17" s="1784">
        <v>1</v>
      </c>
      <c r="K17" s="1209">
        <v>0</v>
      </c>
    </row>
    <row r="18" spans="2:11" ht="15.9" customHeight="1" x14ac:dyDescent="0.25">
      <c r="B18" s="200" t="s">
        <v>691</v>
      </c>
      <c r="C18" s="163"/>
      <c r="D18" s="163"/>
      <c r="E18" s="1785"/>
      <c r="F18" s="1786"/>
      <c r="G18" s="1788"/>
      <c r="H18" s="1787"/>
      <c r="I18" s="436"/>
      <c r="J18" s="1784">
        <v>1</v>
      </c>
      <c r="K18" s="1209">
        <v>0</v>
      </c>
    </row>
    <row r="19" spans="2:11" ht="15.9" customHeight="1" thickBot="1" x14ac:dyDescent="0.3">
      <c r="B19" s="200" t="s">
        <v>958</v>
      </c>
      <c r="C19" s="163"/>
      <c r="D19" s="163"/>
      <c r="E19" s="163"/>
      <c r="F19" s="165"/>
      <c r="G19" s="199"/>
      <c r="H19" s="167"/>
      <c r="I19" s="167"/>
      <c r="J19" s="1790">
        <v>0.1</v>
      </c>
      <c r="K19" s="1209">
        <v>300</v>
      </c>
    </row>
    <row r="20" spans="2:11" ht="15.9" customHeight="1" thickBot="1" x14ac:dyDescent="0.3">
      <c r="B20" s="201"/>
      <c r="C20" s="152"/>
      <c r="D20" s="152"/>
      <c r="E20" s="152"/>
      <c r="F20" s="256" t="s">
        <v>622</v>
      </c>
      <c r="G20" s="232"/>
      <c r="H20" s="233"/>
      <c r="I20" s="1598">
        <v>0</v>
      </c>
      <c r="J20" s="2455">
        <v>3300</v>
      </c>
      <c r="K20" s="2456"/>
    </row>
    <row r="21" spans="2:11" ht="15.9" customHeight="1" thickBot="1" x14ac:dyDescent="0.3">
      <c r="B21" s="2332" t="s">
        <v>867</v>
      </c>
      <c r="C21" s="2333"/>
      <c r="D21" s="2333"/>
      <c r="E21" s="2333"/>
      <c r="F21" s="2333"/>
      <c r="G21" s="2333"/>
      <c r="H21" s="2333"/>
      <c r="I21" s="2333"/>
      <c r="J21" s="2333"/>
      <c r="K21" s="2334"/>
    </row>
    <row r="22" spans="2:11" ht="15.9" customHeight="1" thickBot="1" x14ac:dyDescent="0.35">
      <c r="B22" s="1503">
        <v>0</v>
      </c>
      <c r="C22" s="225"/>
      <c r="D22" s="225"/>
      <c r="E22" s="695"/>
      <c r="F22" s="256" t="s">
        <v>623</v>
      </c>
      <c r="G22" s="696"/>
      <c r="H22" s="696"/>
      <c r="I22" s="697"/>
      <c r="J22" s="697"/>
      <c r="K22" s="1221">
        <v>0</v>
      </c>
    </row>
    <row r="23" spans="2:11" ht="15.9" customHeight="1" x14ac:dyDescent="0.25"/>
    <row r="24" spans="2:11" ht="15.9" customHeight="1" x14ac:dyDescent="0.25"/>
    <row r="25" spans="2:11" ht="15.9" customHeight="1" x14ac:dyDescent="0.25"/>
    <row r="26" spans="2:11" ht="15.9" customHeight="1" x14ac:dyDescent="0.25"/>
    <row r="27" spans="2:11" ht="15.9" customHeight="1" x14ac:dyDescent="0.25"/>
    <row r="28" spans="2:11" ht="15.9" customHeight="1" x14ac:dyDescent="0.25"/>
    <row r="29" spans="2:11" ht="15.9" customHeight="1" x14ac:dyDescent="0.25"/>
    <row r="30" spans="2:11" ht="15.9" customHeight="1" x14ac:dyDescent="0.25"/>
    <row r="31" spans="2:11" ht="15.9" customHeight="1" x14ac:dyDescent="0.25"/>
    <row r="32" spans="2:11" ht="15.9" customHeight="1" x14ac:dyDescent="0.25"/>
    <row r="33" ht="15.9" customHeight="1" x14ac:dyDescent="0.25"/>
    <row r="34" ht="15.9" customHeight="1" x14ac:dyDescent="0.25"/>
    <row r="35" ht="15.9" customHeight="1" x14ac:dyDescent="0.25"/>
    <row r="36" ht="15.9" customHeight="1" x14ac:dyDescent="0.25"/>
    <row r="37" ht="15.9" customHeight="1" x14ac:dyDescent="0.25"/>
    <row r="38" ht="15.9" customHeight="1" x14ac:dyDescent="0.25"/>
    <row r="39" ht="15.9" customHeight="1" x14ac:dyDescent="0.25"/>
    <row r="40" ht="15.9" customHeight="1" x14ac:dyDescent="0.25"/>
    <row r="41" ht="15.9" customHeight="1" x14ac:dyDescent="0.25"/>
    <row r="42" ht="15.9" customHeight="1" x14ac:dyDescent="0.25"/>
    <row r="43" ht="15.9" customHeight="1" x14ac:dyDescent="0.25"/>
    <row r="44" ht="15.9" customHeight="1" x14ac:dyDescent="0.25"/>
    <row r="45" ht="15.9" customHeight="1" x14ac:dyDescent="0.25"/>
    <row r="46" ht="15.9" customHeight="1" x14ac:dyDescent="0.25"/>
    <row r="47" ht="15.9" customHeight="1" x14ac:dyDescent="0.25"/>
    <row r="48" ht="15.9" customHeight="1" x14ac:dyDescent="0.25"/>
    <row r="49" ht="15.9" customHeight="1" x14ac:dyDescent="0.25"/>
    <row r="50" ht="15.9" customHeight="1" x14ac:dyDescent="0.25"/>
    <row r="51" ht="15.9" customHeight="1" x14ac:dyDescent="0.25"/>
    <row r="52" ht="15.9" customHeight="1" x14ac:dyDescent="0.25"/>
    <row r="53" ht="15.9" customHeight="1" x14ac:dyDescent="0.25"/>
    <row r="54" ht="15.9" customHeight="1" x14ac:dyDescent="0.25"/>
    <row r="55" ht="15.9" customHeight="1" x14ac:dyDescent="0.25"/>
  </sheetData>
  <sheetProtection algorithmName="SHA-512" hashValue="/F7S7RB+BwBjlrfKfLCNHIw5ZOw4GPElZ9r0T09vL+xJSU9yYBKCpyyfJ6DfdowOsuia3vF/8lyztyhvtNDDqw==" saltValue="khP6rvZ6D94anY3b0HOP/g==" spinCount="100000" sheet="1" objects="1" scenarios="1" selectLockedCells="1" selectUnlockedCells="1"/>
  <protectedRanges>
    <protectedRange sqref="H224:I253 B240:E240" name="Range2_32"/>
    <protectedRange sqref="H196:I221 B208:E208" name="Range2_70"/>
    <protectedRange sqref="C165:C173 H165:I190 E184:E190 B188:C190" name="Range2_42"/>
    <protectedRange sqref="D152:H158" name="Range2_27"/>
    <protectedRange sqref="J133 J136:J137 J139 J146 J130:J132 H134 J134 H135 J135 J138 H138 J141:J145 J140 E140:H140 J147:J148 E147:H147" name="Range3"/>
    <protectedRange sqref="J23:J24 J26:J29" name="Range3_2"/>
    <protectedRange sqref="J30:J34" name="Range3_8"/>
    <protectedRange sqref="J36:J37 J39:J42" name="Range3_9"/>
    <protectedRange sqref="J43:J46" name="Range3_12"/>
    <protectedRange sqref="J47:J54" name="Range3_13"/>
    <protectedRange sqref="J55:J57 J59:J60 J62:J65" name="Range3_14"/>
    <protectedRange sqref="J89 J66:J87 J91:J96" name="Range3_15"/>
    <protectedRange sqref="J99:J101" name="Range3_16"/>
    <protectedRange sqref="J99:J101" name="Range2_1"/>
    <protectedRange sqref="J103:J105" name="Range3_17"/>
    <protectedRange sqref="J103:J105" name="Range2_2"/>
    <protectedRange sqref="J106:J108" name="Range3_24"/>
    <protectedRange sqref="J106:J108" name="Range2_3"/>
    <protectedRange sqref="J114" name="Range3_25"/>
    <protectedRange sqref="J114" name="Range2_4"/>
    <protectedRange sqref="J118:J120" name="Range3_26"/>
    <protectedRange sqref="J121" name="Range3_27"/>
    <protectedRange sqref="J122" name="Range3_28"/>
    <protectedRange sqref="J123:J124" name="Range3_29"/>
    <protectedRange sqref="J12" name="Range3_1"/>
    <protectedRange sqref="J13:J19 E16:H18" name="Range3_3"/>
  </protectedRanges>
  <customSheetViews>
    <customSheetView guid="{BC429C65-53B8-4F97-88D2-74ECCD734800}" showGridLines="0">
      <selection activeCell="A3" sqref="A3"/>
      <pageMargins left="0.25" right="0.25" top="0.75" bottom="1" header="0" footer="0"/>
      <printOptions horizontalCentered="1"/>
      <pageSetup orientation="portrait" r:id="rId1"/>
      <headerFooter alignWithMargins="0">
        <oddHeader>&amp;RCP</oddHeader>
        <oddFooter>&amp;LADEM Form 318 07/2012</oddFooter>
      </headerFooter>
    </customSheetView>
  </customSheetViews>
  <mergeCells count="12">
    <mergeCell ref="A1:A1048576"/>
    <mergeCell ref="B6:K6"/>
    <mergeCell ref="B7:G7"/>
    <mergeCell ref="B3:K3"/>
    <mergeCell ref="C4:D4"/>
    <mergeCell ref="F4:H4"/>
    <mergeCell ref="I4:K4"/>
    <mergeCell ref="C5:D5"/>
    <mergeCell ref="F5:H5"/>
    <mergeCell ref="I5:K5"/>
    <mergeCell ref="J20:K20"/>
    <mergeCell ref="B21:K21"/>
  </mergeCells>
  <conditionalFormatting sqref="B12:K12">
    <cfRule type="expression" priority="1">
      <formula>$I44&lt;=3000</formula>
    </cfRule>
  </conditionalFormatting>
  <dataValidations count="2">
    <dataValidation allowBlank="1" showInputMessage="1" showErrorMessage="1" prompt="Quotes required for approval_x000a_" sqref="H12" xr:uid="{B286FCFB-FFF9-48EA-867C-82CE2DDE2490}"/>
    <dataValidation type="list" operator="lessThanOrEqual" allowBlank="1" showErrorMessage="1" prompt="_x000a_" sqref="J19" xr:uid="{88945E58-8A44-4F1E-ADA5-9A9EB81D8206}">
      <formula1>I20:I21</formula1>
    </dataValidation>
  </dataValidations>
  <printOptions horizontalCentered="1"/>
  <pageMargins left="0.25" right="0.25" top="0.75" bottom="1" header="0" footer="0"/>
  <pageSetup orientation="portrait" r:id="rId2"/>
  <headerFooter alignWithMargins="0">
    <oddHeader>&amp;RCP</oddHeader>
    <oddFooter>&amp;LADEM Form 31 SUMMARY DRAFT&amp;C2/2025&amp;R*M9 DRAFT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7105" r:id="rId5" name="Button 1">
              <controlPr defaultSize="0" print="0" autoFill="0" autoPict="0" macro="[0]!sixteen">
                <anchor>
                  <from>
                    <xdr:col>0</xdr:col>
                    <xdr:colOff>160020</xdr:colOff>
                    <xdr:row>12</xdr:row>
                    <xdr:rowOff>137160</xdr:rowOff>
                  </from>
                  <to>
                    <xdr:col>0</xdr:col>
                    <xdr:colOff>800100</xdr:colOff>
                    <xdr:row>15</xdr:row>
                    <xdr:rowOff>152400</xdr:rowOff>
                  </to>
                </anchor>
              </controlPr>
            </control>
          </mc:Choice>
        </mc:AlternateContent>
        <mc:AlternateContent xmlns:mc="http://schemas.openxmlformats.org/markup-compatibility/2006">
          <mc:Choice Requires="x14">
            <control shapeId="47106" r:id="rId6" name="Button 2">
              <controlPr defaultSize="0" print="0" autoFill="0" autoPict="0" macro="[0]!eleven">
                <anchor>
                  <from>
                    <xdr:col>0</xdr:col>
                    <xdr:colOff>182880</xdr:colOff>
                    <xdr:row>8</xdr:row>
                    <xdr:rowOff>182880</xdr:rowOff>
                  </from>
                  <to>
                    <xdr:col>0</xdr:col>
                    <xdr:colOff>792480</xdr:colOff>
                    <xdr:row>11</xdr:row>
                    <xdr:rowOff>137160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theme="0" tint="-4.9989318521683403E-2"/>
  </sheetPr>
  <dimension ref="A1:T163"/>
  <sheetViews>
    <sheetView showGridLines="0" showRowColHeaders="0" zoomScale="110" zoomScaleNormal="110" workbookViewId="0">
      <pane xSplit="1" ySplit="8" topLeftCell="B9" activePane="bottomRight" state="frozen"/>
      <selection activeCell="E8" sqref="E8:I10"/>
      <selection pane="topRight" activeCell="E8" sqref="E8:I10"/>
      <selection pane="bottomLeft" activeCell="E8" sqref="E8:I10"/>
      <selection pane="bottomRight" activeCell="E8" sqref="E8:I10"/>
    </sheetView>
  </sheetViews>
  <sheetFormatPr defaultColWidth="8.88671875" defaultRowHeight="13.2" x14ac:dyDescent="0.25"/>
  <cols>
    <col min="1" max="1" width="13.6640625" style="304" customWidth="1"/>
    <col min="2" max="2" width="10.109375" style="104" customWidth="1"/>
    <col min="3" max="3" width="1.33203125" style="104" customWidth="1"/>
    <col min="4" max="4" width="1.6640625" style="104" customWidth="1"/>
    <col min="5" max="5" width="13.6640625" style="104" customWidth="1"/>
    <col min="6" max="6" width="13.109375" style="104" customWidth="1"/>
    <col min="7" max="7" width="13.5546875" style="104" customWidth="1"/>
    <col min="8" max="8" width="9.109375" style="104" customWidth="1"/>
    <col min="9" max="9" width="7.6640625" style="104" customWidth="1"/>
    <col min="10" max="10" width="16" style="104" customWidth="1"/>
    <col min="11" max="11" width="8.88671875" style="104"/>
    <col min="12" max="16" width="8.88671875" style="412"/>
    <col min="17" max="20" width="8.88671875" style="430"/>
    <col min="21" max="16384" width="8.88671875" style="104"/>
  </cols>
  <sheetData>
    <row r="1" spans="2:14" ht="18" customHeight="1" thickBot="1" x14ac:dyDescent="0.3"/>
    <row r="2" spans="2:14" ht="21.75" hidden="1" customHeight="1" thickBot="1" x14ac:dyDescent="0.3">
      <c r="B2" s="1496" t="s">
        <v>1287</v>
      </c>
      <c r="C2" s="1497"/>
      <c r="D2" s="1497"/>
      <c r="E2" s="1497"/>
      <c r="F2" s="1497"/>
      <c r="G2" s="1497"/>
      <c r="H2" s="1497"/>
      <c r="I2" s="1497"/>
      <c r="J2" s="1497"/>
      <c r="K2" s="1498"/>
      <c r="L2" s="1768"/>
      <c r="M2" s="1769">
        <f>SUM(K21+K30+K42+K54)</f>
        <v>0</v>
      </c>
      <c r="N2" s="1770">
        <f>M2+M42+L95</f>
        <v>0</v>
      </c>
    </row>
    <row r="3" spans="2:14" ht="18.600000000000001" customHeight="1" thickBot="1" x14ac:dyDescent="0.35">
      <c r="B3" s="1398" t="s">
        <v>868</v>
      </c>
      <c r="C3" s="1399"/>
      <c r="D3" s="1399"/>
      <c r="E3" s="1399"/>
      <c r="F3" s="1399"/>
      <c r="G3" s="1399"/>
      <c r="H3" s="1399"/>
      <c r="I3" s="1399"/>
      <c r="J3" s="1399"/>
      <c r="K3" s="1400"/>
    </row>
    <row r="4" spans="2:14" ht="27.6" customHeight="1" x14ac:dyDescent="0.25">
      <c r="B4" s="1378" t="s">
        <v>1286</v>
      </c>
      <c r="C4" s="1379"/>
      <c r="D4" s="1379"/>
      <c r="E4" s="1379"/>
      <c r="F4" s="1379"/>
      <c r="G4" s="1379"/>
      <c r="H4" s="1379"/>
      <c r="I4" s="1379"/>
      <c r="J4" s="1379"/>
      <c r="K4" s="1380"/>
    </row>
    <row r="5" spans="2:14" ht="13.2" customHeight="1" thickBot="1" x14ac:dyDescent="0.3">
      <c r="B5" s="1376" t="s">
        <v>1265</v>
      </c>
      <c r="C5" s="1375"/>
      <c r="D5" s="1375"/>
      <c r="E5" s="1375"/>
      <c r="F5" s="1375"/>
      <c r="G5" s="1375"/>
      <c r="H5" s="1375"/>
      <c r="I5" s="1375"/>
      <c r="J5" s="1375"/>
      <c r="K5" s="1377"/>
    </row>
    <row r="6" spans="2:14" ht="14.4" x14ac:dyDescent="0.3">
      <c r="B6" s="1388" t="s">
        <v>1267</v>
      </c>
      <c r="C6" s="1389"/>
      <c r="D6" s="1389"/>
      <c r="E6" s="1393"/>
      <c r="F6" s="1393" t="s">
        <v>955</v>
      </c>
      <c r="G6" s="1381" t="s">
        <v>19</v>
      </c>
      <c r="H6" s="1384" t="s">
        <v>897</v>
      </c>
      <c r="I6" s="1384" t="s">
        <v>897</v>
      </c>
      <c r="J6" s="1384" t="s">
        <v>1289</v>
      </c>
      <c r="K6" s="1499" t="s">
        <v>899</v>
      </c>
    </row>
    <row r="7" spans="2:14" ht="14.4" x14ac:dyDescent="0.3">
      <c r="B7" s="1390" t="s">
        <v>619</v>
      </c>
      <c r="C7" s="1391"/>
      <c r="D7" s="1391"/>
      <c r="E7" s="1394"/>
      <c r="F7" s="1394" t="s">
        <v>170</v>
      </c>
      <c r="G7" s="1382" t="s">
        <v>910</v>
      </c>
      <c r="H7" s="1385" t="s">
        <v>900</v>
      </c>
      <c r="I7" s="1385" t="s">
        <v>901</v>
      </c>
      <c r="J7" s="1385" t="s">
        <v>1290</v>
      </c>
      <c r="K7" s="1500" t="s">
        <v>903</v>
      </c>
    </row>
    <row r="8" spans="2:14" ht="15" thickBot="1" x14ac:dyDescent="0.35">
      <c r="B8" s="1396" t="s">
        <v>905</v>
      </c>
      <c r="C8" s="1392"/>
      <c r="D8" s="1392"/>
      <c r="E8" s="1395" t="s">
        <v>906</v>
      </c>
      <c r="F8" s="1395" t="s">
        <v>904</v>
      </c>
      <c r="G8" s="1383"/>
      <c r="H8" s="1386" t="s">
        <v>907</v>
      </c>
      <c r="I8" s="1386" t="s">
        <v>907</v>
      </c>
      <c r="J8" s="1387" t="s">
        <v>1291</v>
      </c>
      <c r="K8" s="1501" t="s">
        <v>909</v>
      </c>
    </row>
    <row r="9" spans="2:14" ht="18" customHeight="1" thickBot="1" x14ac:dyDescent="0.3">
      <c r="B9" s="793" t="s">
        <v>1447</v>
      </c>
      <c r="C9" s="803"/>
      <c r="D9" s="803"/>
      <c r="E9" s="1510"/>
      <c r="F9" s="1510"/>
      <c r="G9" s="1510"/>
      <c r="H9" s="1510"/>
      <c r="I9" s="1510"/>
      <c r="J9" s="1510"/>
      <c r="K9" s="1780"/>
      <c r="L9" s="1771"/>
    </row>
    <row r="10" spans="2:14" ht="13.2" customHeight="1" x14ac:dyDescent="0.25">
      <c r="B10" s="2490"/>
      <c r="C10" s="2491"/>
      <c r="D10" s="2492"/>
      <c r="E10" s="1405"/>
      <c r="F10" s="1437"/>
      <c r="G10" s="1402"/>
      <c r="H10" s="1472"/>
      <c r="I10" s="1472"/>
      <c r="J10" s="1505"/>
      <c r="K10" s="1473"/>
      <c r="L10" s="1771">
        <f>IF(K10="",0,1)</f>
        <v>0</v>
      </c>
    </row>
    <row r="11" spans="2:14" ht="13.2" customHeight="1" x14ac:dyDescent="0.25">
      <c r="B11" s="2506"/>
      <c r="C11" s="2507"/>
      <c r="D11" s="2508"/>
      <c r="E11" s="1405"/>
      <c r="F11" s="1437"/>
      <c r="G11" s="1402"/>
      <c r="H11" s="1472"/>
      <c r="I11" s="1472"/>
      <c r="J11" s="1415"/>
      <c r="K11" s="1473"/>
      <c r="L11" s="1771">
        <f t="shared" ref="L11:L20" si="0">IF(K11="",0,1)</f>
        <v>0</v>
      </c>
    </row>
    <row r="12" spans="2:14" ht="13.2" customHeight="1" x14ac:dyDescent="0.25">
      <c r="B12" s="2506"/>
      <c r="C12" s="2507"/>
      <c r="D12" s="2508"/>
      <c r="E12" s="1405"/>
      <c r="F12" s="1437"/>
      <c r="G12" s="1402"/>
      <c r="H12" s="1472"/>
      <c r="I12" s="1472"/>
      <c r="J12" s="1415"/>
      <c r="K12" s="1473"/>
      <c r="L12" s="1771">
        <f t="shared" si="0"/>
        <v>0</v>
      </c>
    </row>
    <row r="13" spans="2:14" ht="13.2" customHeight="1" x14ac:dyDescent="0.25">
      <c r="B13" s="2428"/>
      <c r="C13" s="2429"/>
      <c r="D13" s="2430"/>
      <c r="E13" s="1406"/>
      <c r="F13" s="1435"/>
      <c r="G13" s="1403"/>
      <c r="H13" s="1474"/>
      <c r="I13" s="1474"/>
      <c r="J13" s="1412"/>
      <c r="K13" s="1473"/>
      <c r="L13" s="1771">
        <f t="shared" si="0"/>
        <v>0</v>
      </c>
    </row>
    <row r="14" spans="2:14" ht="13.2" customHeight="1" x14ac:dyDescent="0.25">
      <c r="B14" s="2428"/>
      <c r="C14" s="2429"/>
      <c r="D14" s="2430"/>
      <c r="E14" s="1406"/>
      <c r="F14" s="1435"/>
      <c r="G14" s="1404"/>
      <c r="H14" s="1474"/>
      <c r="I14" s="1474"/>
      <c r="J14" s="1412"/>
      <c r="K14" s="1473"/>
      <c r="L14" s="1771">
        <f t="shared" si="0"/>
        <v>0</v>
      </c>
    </row>
    <row r="15" spans="2:14" ht="13.2" customHeight="1" x14ac:dyDescent="0.25">
      <c r="B15" s="2428"/>
      <c r="C15" s="2429"/>
      <c r="D15" s="2430"/>
      <c r="E15" s="1406"/>
      <c r="F15" s="1435"/>
      <c r="G15" s="1404"/>
      <c r="H15" s="1474"/>
      <c r="I15" s="1474"/>
      <c r="J15" s="1412"/>
      <c r="K15" s="1473"/>
      <c r="L15" s="1771">
        <f t="shared" si="0"/>
        <v>0</v>
      </c>
    </row>
    <row r="16" spans="2:14" ht="13.2" customHeight="1" x14ac:dyDescent="0.25">
      <c r="B16" s="2428"/>
      <c r="C16" s="2429"/>
      <c r="D16" s="2430"/>
      <c r="E16" s="1406"/>
      <c r="F16" s="1435"/>
      <c r="G16" s="1404"/>
      <c r="H16" s="1474"/>
      <c r="I16" s="1474"/>
      <c r="J16" s="1412"/>
      <c r="K16" s="1473"/>
      <c r="L16" s="1771">
        <f t="shared" si="0"/>
        <v>0</v>
      </c>
    </row>
    <row r="17" spans="2:14" ht="13.2" customHeight="1" x14ac:dyDescent="0.25">
      <c r="B17" s="2428"/>
      <c r="C17" s="2429"/>
      <c r="D17" s="2430"/>
      <c r="E17" s="1406"/>
      <c r="F17" s="1435"/>
      <c r="G17" s="1404"/>
      <c r="H17" s="1474"/>
      <c r="I17" s="1474"/>
      <c r="J17" s="1412"/>
      <c r="K17" s="1473"/>
      <c r="L17" s="1771">
        <f t="shared" si="0"/>
        <v>0</v>
      </c>
    </row>
    <row r="18" spans="2:14" ht="13.2" customHeight="1" x14ac:dyDescent="0.25">
      <c r="B18" s="2428"/>
      <c r="C18" s="2429"/>
      <c r="D18" s="2430"/>
      <c r="E18" s="1406"/>
      <c r="F18" s="1435"/>
      <c r="G18" s="1404"/>
      <c r="H18" s="1474"/>
      <c r="I18" s="1474"/>
      <c r="J18" s="1412"/>
      <c r="K18" s="1473"/>
      <c r="L18" s="1771">
        <f t="shared" si="0"/>
        <v>0</v>
      </c>
    </row>
    <row r="19" spans="2:14" ht="13.2" customHeight="1" x14ac:dyDescent="0.25">
      <c r="B19" s="2428"/>
      <c r="C19" s="2429"/>
      <c r="D19" s="2430"/>
      <c r="E19" s="1406"/>
      <c r="F19" s="1435"/>
      <c r="G19" s="1404"/>
      <c r="H19" s="1474"/>
      <c r="I19" s="1474"/>
      <c r="J19" s="1412"/>
      <c r="K19" s="1473"/>
      <c r="L19" s="1771">
        <f t="shared" si="0"/>
        <v>0</v>
      </c>
    </row>
    <row r="20" spans="2:14" ht="14.1" customHeight="1" thickBot="1" x14ac:dyDescent="0.3">
      <c r="B20" s="2428"/>
      <c r="C20" s="2429"/>
      <c r="D20" s="2430"/>
      <c r="E20" s="1406"/>
      <c r="F20" s="1438"/>
      <c r="G20" s="1404"/>
      <c r="H20" s="1476"/>
      <c r="I20" s="1476"/>
      <c r="J20" s="1418"/>
      <c r="K20" s="1473"/>
      <c r="L20" s="1771">
        <f t="shared" si="0"/>
        <v>0</v>
      </c>
    </row>
    <row r="21" spans="2:14" ht="14.1" customHeight="1" thickBot="1" x14ac:dyDescent="0.3">
      <c r="B21" s="1419" t="s">
        <v>1268</v>
      </c>
      <c r="C21" s="1372"/>
      <c r="D21" s="1372"/>
      <c r="E21" s="319"/>
      <c r="F21" s="319"/>
      <c r="G21" s="320"/>
      <c r="H21" s="1000" t="s">
        <v>1437</v>
      </c>
      <c r="I21" s="1373"/>
      <c r="J21" s="1373"/>
      <c r="K21" s="317">
        <f>SUM(L10:L20)</f>
        <v>0</v>
      </c>
      <c r="M21" s="1772">
        <f>K21+K74+K127</f>
        <v>0</v>
      </c>
      <c r="N21" s="412">
        <f>IF(M21=0,0,1)</f>
        <v>0</v>
      </c>
    </row>
    <row r="22" spans="2:14" ht="16.2" customHeight="1" thickBot="1" x14ac:dyDescent="0.3">
      <c r="B22" s="793" t="s">
        <v>1445</v>
      </c>
      <c r="C22" s="803"/>
      <c r="D22" s="803"/>
      <c r="E22" s="1510"/>
      <c r="F22" s="1510"/>
      <c r="G22" s="1510"/>
      <c r="H22" s="1510"/>
      <c r="I22" s="1510"/>
      <c r="J22" s="1510"/>
      <c r="K22" s="1511"/>
      <c r="N22" s="412">
        <f>IF(M30=0,0,1)</f>
        <v>0</v>
      </c>
    </row>
    <row r="23" spans="2:14" ht="13.2" customHeight="1" x14ac:dyDescent="0.25">
      <c r="B23" s="2490"/>
      <c r="C23" s="2491"/>
      <c r="D23" s="2492"/>
      <c r="E23" s="1407"/>
      <c r="F23" s="1436"/>
      <c r="G23" s="1477"/>
      <c r="H23" s="1478"/>
      <c r="I23" s="1478"/>
      <c r="J23" s="1415"/>
      <c r="K23" s="1473"/>
      <c r="L23" s="1771">
        <f>IF(K23="",0,1)</f>
        <v>0</v>
      </c>
      <c r="M23" s="811"/>
      <c r="N23" s="412">
        <f>IF(M42=0,0,1)</f>
        <v>0</v>
      </c>
    </row>
    <row r="24" spans="2:14" ht="13.2" customHeight="1" x14ac:dyDescent="0.25">
      <c r="B24" s="2428"/>
      <c r="C24" s="2429"/>
      <c r="D24" s="2430"/>
      <c r="E24" s="1408"/>
      <c r="F24" s="1435"/>
      <c r="G24" s="1404"/>
      <c r="H24" s="1474"/>
      <c r="I24" s="1474"/>
      <c r="J24" s="1412"/>
      <c r="K24" s="1473"/>
      <c r="L24" s="1771">
        <f t="shared" ref="L24:L29" si="1">IF(K24="",0,1)</f>
        <v>0</v>
      </c>
      <c r="M24" s="811"/>
      <c r="N24" s="412">
        <f>IF(M54=0,0,1)</f>
        <v>0</v>
      </c>
    </row>
    <row r="25" spans="2:14" ht="13.2" customHeight="1" x14ac:dyDescent="0.25">
      <c r="B25" s="2428"/>
      <c r="C25" s="2429"/>
      <c r="D25" s="2430"/>
      <c r="E25" s="1408"/>
      <c r="F25" s="1435"/>
      <c r="G25" s="1404"/>
      <c r="H25" s="1474"/>
      <c r="I25" s="1474"/>
      <c r="J25" s="1412"/>
      <c r="K25" s="1473"/>
      <c r="L25" s="1771">
        <f t="shared" si="1"/>
        <v>0</v>
      </c>
    </row>
    <row r="26" spans="2:14" ht="13.2" customHeight="1" x14ac:dyDescent="0.25">
      <c r="B26" s="2428"/>
      <c r="C26" s="2429"/>
      <c r="D26" s="2430"/>
      <c r="E26" s="1408"/>
      <c r="F26" s="1435"/>
      <c r="G26" s="1404"/>
      <c r="H26" s="1474"/>
      <c r="I26" s="1474"/>
      <c r="J26" s="1412"/>
      <c r="K26" s="1473"/>
      <c r="L26" s="1771">
        <f t="shared" si="1"/>
        <v>0</v>
      </c>
    </row>
    <row r="27" spans="2:14" ht="13.2" customHeight="1" x14ac:dyDescent="0.25">
      <c r="B27" s="2428"/>
      <c r="C27" s="2429"/>
      <c r="D27" s="2430"/>
      <c r="E27" s="1408"/>
      <c r="F27" s="1435"/>
      <c r="G27" s="1404"/>
      <c r="H27" s="1474"/>
      <c r="I27" s="1474"/>
      <c r="J27" s="1412"/>
      <c r="K27" s="1473"/>
      <c r="L27" s="1771">
        <f t="shared" si="1"/>
        <v>0</v>
      </c>
    </row>
    <row r="28" spans="2:14" ht="13.2" customHeight="1" x14ac:dyDescent="0.25">
      <c r="B28" s="2428"/>
      <c r="C28" s="2429"/>
      <c r="D28" s="2430"/>
      <c r="E28" s="1408"/>
      <c r="F28" s="1435"/>
      <c r="G28" s="1404"/>
      <c r="H28" s="1474"/>
      <c r="I28" s="1474"/>
      <c r="J28" s="1412"/>
      <c r="K28" s="1473"/>
      <c r="L28" s="1771">
        <f t="shared" si="1"/>
        <v>0</v>
      </c>
    </row>
    <row r="29" spans="2:14" ht="13.95" customHeight="1" thickBot="1" x14ac:dyDescent="0.3">
      <c r="B29" s="2428"/>
      <c r="C29" s="2429"/>
      <c r="D29" s="2430"/>
      <c r="E29" s="1408"/>
      <c r="F29" s="1435"/>
      <c r="G29" s="1404"/>
      <c r="H29" s="1476"/>
      <c r="I29" s="1476"/>
      <c r="J29" s="1418"/>
      <c r="K29" s="1473"/>
      <c r="L29" s="1771">
        <f t="shared" si="1"/>
        <v>0</v>
      </c>
    </row>
    <row r="30" spans="2:14" ht="13.95" customHeight="1" thickBot="1" x14ac:dyDescent="0.3">
      <c r="B30" s="1419" t="s">
        <v>1268</v>
      </c>
      <c r="C30" s="1372"/>
      <c r="D30" s="1372"/>
      <c r="E30" s="319"/>
      <c r="F30" s="319"/>
      <c r="G30" s="309"/>
      <c r="H30" s="316" t="s">
        <v>1435</v>
      </c>
      <c r="I30" s="314"/>
      <c r="J30" s="314"/>
      <c r="K30" s="317">
        <f>SUM(L23:L29)</f>
        <v>0</v>
      </c>
      <c r="M30" s="1772">
        <f>K30+K83+K136</f>
        <v>0</v>
      </c>
    </row>
    <row r="31" spans="2:14" ht="16.95" customHeight="1" thickBot="1" x14ac:dyDescent="0.3">
      <c r="B31" s="793" t="s">
        <v>1444</v>
      </c>
      <c r="C31" s="803"/>
      <c r="D31" s="803"/>
      <c r="E31" s="1510"/>
      <c r="F31" s="1510"/>
      <c r="G31" s="1510"/>
      <c r="H31" s="1510"/>
      <c r="I31" s="1510"/>
      <c r="J31" s="1510"/>
      <c r="K31" s="1511"/>
      <c r="L31" s="1771"/>
    </row>
    <row r="32" spans="2:14" ht="13.2" customHeight="1" x14ac:dyDescent="0.25">
      <c r="B32" s="2490"/>
      <c r="C32" s="2491"/>
      <c r="D32" s="2492"/>
      <c r="E32" s="1407"/>
      <c r="F32" s="1436"/>
      <c r="G32" s="1477"/>
      <c r="H32" s="1478"/>
      <c r="I32" s="1478"/>
      <c r="J32" s="1415"/>
      <c r="K32" s="1473"/>
      <c r="L32" s="1771">
        <f t="shared" ref="L32:L41" si="2">IF(K32="",0,1)</f>
        <v>0</v>
      </c>
    </row>
    <row r="33" spans="2:13" ht="13.2" customHeight="1" x14ac:dyDescent="0.25">
      <c r="B33" s="2428"/>
      <c r="C33" s="2429"/>
      <c r="D33" s="2430"/>
      <c r="E33" s="1408"/>
      <c r="F33" s="1435"/>
      <c r="G33" s="1404"/>
      <c r="H33" s="1474"/>
      <c r="I33" s="1474"/>
      <c r="J33" s="1412"/>
      <c r="K33" s="1473"/>
      <c r="L33" s="1771">
        <f t="shared" si="2"/>
        <v>0</v>
      </c>
    </row>
    <row r="34" spans="2:13" ht="13.2" customHeight="1" x14ac:dyDescent="0.25">
      <c r="B34" s="2428"/>
      <c r="C34" s="2429"/>
      <c r="D34" s="2430"/>
      <c r="E34" s="1408"/>
      <c r="F34" s="1435"/>
      <c r="G34" s="1404"/>
      <c r="H34" s="1474"/>
      <c r="I34" s="1474"/>
      <c r="J34" s="1412"/>
      <c r="K34" s="1473"/>
      <c r="L34" s="1771">
        <f t="shared" si="2"/>
        <v>0</v>
      </c>
    </row>
    <row r="35" spans="2:13" ht="13.2" customHeight="1" x14ac:dyDescent="0.25">
      <c r="B35" s="2428"/>
      <c r="C35" s="2429"/>
      <c r="D35" s="2430"/>
      <c r="E35" s="1408"/>
      <c r="F35" s="1435"/>
      <c r="G35" s="1404"/>
      <c r="H35" s="1474"/>
      <c r="I35" s="1474"/>
      <c r="J35" s="1412"/>
      <c r="K35" s="1473"/>
      <c r="L35" s="1771">
        <f t="shared" si="2"/>
        <v>0</v>
      </c>
    </row>
    <row r="36" spans="2:13" ht="13.2" customHeight="1" x14ac:dyDescent="0.25">
      <c r="B36" s="2428"/>
      <c r="C36" s="2429"/>
      <c r="D36" s="2430"/>
      <c r="E36" s="1408"/>
      <c r="F36" s="1435"/>
      <c r="G36" s="1404"/>
      <c r="H36" s="1474"/>
      <c r="I36" s="1474"/>
      <c r="J36" s="1412"/>
      <c r="K36" s="1475"/>
      <c r="L36" s="1771">
        <f t="shared" si="2"/>
        <v>0</v>
      </c>
    </row>
    <row r="37" spans="2:13" ht="13.2" customHeight="1" x14ac:dyDescent="0.25">
      <c r="B37" s="2428"/>
      <c r="C37" s="2429"/>
      <c r="D37" s="2430"/>
      <c r="E37" s="1408"/>
      <c r="F37" s="1435"/>
      <c r="G37" s="1404"/>
      <c r="H37" s="1474"/>
      <c r="I37" s="1474"/>
      <c r="J37" s="1412"/>
      <c r="K37" s="1475"/>
      <c r="L37" s="1771">
        <f t="shared" si="2"/>
        <v>0</v>
      </c>
    </row>
    <row r="38" spans="2:13" ht="13.2" customHeight="1" x14ac:dyDescent="0.25">
      <c r="B38" s="2428"/>
      <c r="C38" s="2429"/>
      <c r="D38" s="2430"/>
      <c r="E38" s="1408"/>
      <c r="F38" s="1435"/>
      <c r="G38" s="1404"/>
      <c r="H38" s="1474"/>
      <c r="I38" s="1474"/>
      <c r="J38" s="1412"/>
      <c r="K38" s="1475"/>
      <c r="L38" s="1771">
        <f t="shared" si="2"/>
        <v>0</v>
      </c>
    </row>
    <row r="39" spans="2:13" ht="13.2" customHeight="1" x14ac:dyDescent="0.25">
      <c r="B39" s="2428"/>
      <c r="C39" s="2429"/>
      <c r="D39" s="2430"/>
      <c r="E39" s="1408"/>
      <c r="F39" s="1435"/>
      <c r="G39" s="1404"/>
      <c r="H39" s="1474"/>
      <c r="I39" s="1474"/>
      <c r="J39" s="1412"/>
      <c r="K39" s="1475"/>
      <c r="L39" s="1771">
        <f t="shared" si="2"/>
        <v>0</v>
      </c>
    </row>
    <row r="40" spans="2:13" ht="13.2" customHeight="1" x14ac:dyDescent="0.25">
      <c r="B40" s="2428"/>
      <c r="C40" s="2429"/>
      <c r="D40" s="2430"/>
      <c r="E40" s="1408"/>
      <c r="F40" s="1435"/>
      <c r="G40" s="1404"/>
      <c r="H40" s="1474"/>
      <c r="I40" s="1474"/>
      <c r="J40" s="1412"/>
      <c r="K40" s="1475"/>
      <c r="L40" s="1771">
        <f t="shared" si="2"/>
        <v>0</v>
      </c>
    </row>
    <row r="41" spans="2:13" ht="13.95" customHeight="1" thickBot="1" x14ac:dyDescent="0.3">
      <c r="B41" s="2428"/>
      <c r="C41" s="2429"/>
      <c r="D41" s="2430"/>
      <c r="E41" s="1408"/>
      <c r="F41" s="1435"/>
      <c r="G41" s="1444"/>
      <c r="H41" s="1457"/>
      <c r="I41" s="1457"/>
      <c r="J41" s="1417"/>
      <c r="K41" s="1475"/>
      <c r="L41" s="1771">
        <f t="shared" si="2"/>
        <v>0</v>
      </c>
    </row>
    <row r="42" spans="2:13" ht="15" customHeight="1" thickBot="1" x14ac:dyDescent="0.3">
      <c r="B42" s="1419" t="s">
        <v>1268</v>
      </c>
      <c r="C42" s="1372"/>
      <c r="D42" s="1372"/>
      <c r="E42" s="320"/>
      <c r="F42" s="141"/>
      <c r="G42" s="309"/>
      <c r="H42" s="316" t="s">
        <v>1434</v>
      </c>
      <c r="I42" s="314"/>
      <c r="J42" s="314"/>
      <c r="K42" s="317">
        <f>SUM(L32:L41)</f>
        <v>0</v>
      </c>
      <c r="M42" s="1772">
        <f>K42+K95+K148</f>
        <v>0</v>
      </c>
    </row>
    <row r="43" spans="2:13" ht="13.8" thickBot="1" x14ac:dyDescent="0.3">
      <c r="B43" s="1781" t="s">
        <v>1443</v>
      </c>
      <c r="C43" s="1782"/>
      <c r="D43" s="1782"/>
      <c r="E43" s="1783"/>
      <c r="F43" s="1783"/>
      <c r="G43" s="1783"/>
      <c r="H43" s="803"/>
      <c r="I43" s="1510"/>
      <c r="J43" s="1510"/>
      <c r="K43" s="1780"/>
      <c r="L43" s="1773"/>
    </row>
    <row r="44" spans="2:13" x14ac:dyDescent="0.25">
      <c r="B44" s="2490"/>
      <c r="C44" s="2491"/>
      <c r="D44" s="2492"/>
      <c r="E44" s="1407"/>
      <c r="F44" s="1436"/>
      <c r="G44" s="1477"/>
      <c r="H44" s="1478"/>
      <c r="I44" s="1478"/>
      <c r="J44" s="1415"/>
      <c r="K44" s="1473"/>
      <c r="L44" s="1771">
        <f t="shared" ref="L44:L53" si="3">IF(K44="",0,1)</f>
        <v>0</v>
      </c>
    </row>
    <row r="45" spans="2:13" x14ac:dyDescent="0.25">
      <c r="B45" s="2428"/>
      <c r="C45" s="2429"/>
      <c r="D45" s="2430"/>
      <c r="E45" s="1408"/>
      <c r="F45" s="1435"/>
      <c r="G45" s="1404"/>
      <c r="H45" s="1474"/>
      <c r="I45" s="1474"/>
      <c r="J45" s="1412"/>
      <c r="K45" s="1473"/>
      <c r="L45" s="1771">
        <f t="shared" si="3"/>
        <v>0</v>
      </c>
    </row>
    <row r="46" spans="2:13" x14ac:dyDescent="0.25">
      <c r="B46" s="2428"/>
      <c r="C46" s="2429"/>
      <c r="D46" s="2430"/>
      <c r="E46" s="1408"/>
      <c r="F46" s="1435"/>
      <c r="G46" s="1404"/>
      <c r="H46" s="1474"/>
      <c r="I46" s="1474"/>
      <c r="J46" s="1412"/>
      <c r="K46" s="1473"/>
      <c r="L46" s="1771">
        <f t="shared" si="3"/>
        <v>0</v>
      </c>
    </row>
    <row r="47" spans="2:13" x14ac:dyDescent="0.25">
      <c r="B47" s="2428"/>
      <c r="C47" s="2429"/>
      <c r="D47" s="2430"/>
      <c r="E47" s="1408"/>
      <c r="F47" s="1435"/>
      <c r="G47" s="1404"/>
      <c r="H47" s="1474"/>
      <c r="I47" s="1474"/>
      <c r="J47" s="1412"/>
      <c r="K47" s="1473"/>
      <c r="L47" s="1771">
        <f t="shared" si="3"/>
        <v>0</v>
      </c>
    </row>
    <row r="48" spans="2:13" x14ac:dyDescent="0.25">
      <c r="B48" s="2428"/>
      <c r="C48" s="2429"/>
      <c r="D48" s="2430"/>
      <c r="E48" s="1408"/>
      <c r="F48" s="1435"/>
      <c r="G48" s="1404"/>
      <c r="H48" s="1474"/>
      <c r="I48" s="1474"/>
      <c r="J48" s="1412"/>
      <c r="K48" s="1475"/>
      <c r="L48" s="1771">
        <f t="shared" si="3"/>
        <v>0</v>
      </c>
    </row>
    <row r="49" spans="2:13" x14ac:dyDescent="0.25">
      <c r="B49" s="2428"/>
      <c r="C49" s="2429"/>
      <c r="D49" s="2430"/>
      <c r="E49" s="1408"/>
      <c r="F49" s="1435"/>
      <c r="G49" s="1404"/>
      <c r="H49" s="1474"/>
      <c r="I49" s="1474"/>
      <c r="J49" s="1412"/>
      <c r="K49" s="1475"/>
      <c r="L49" s="1771">
        <f t="shared" si="3"/>
        <v>0</v>
      </c>
    </row>
    <row r="50" spans="2:13" x14ac:dyDescent="0.25">
      <c r="B50" s="2428"/>
      <c r="C50" s="2429"/>
      <c r="D50" s="2430"/>
      <c r="E50" s="1408"/>
      <c r="F50" s="1435"/>
      <c r="G50" s="1404"/>
      <c r="H50" s="1474"/>
      <c r="I50" s="1474"/>
      <c r="J50" s="1412"/>
      <c r="K50" s="1475"/>
      <c r="L50" s="1771">
        <f t="shared" si="3"/>
        <v>0</v>
      </c>
    </row>
    <row r="51" spans="2:13" x14ac:dyDescent="0.25">
      <c r="B51" s="2428"/>
      <c r="C51" s="2429"/>
      <c r="D51" s="2430"/>
      <c r="E51" s="1408"/>
      <c r="F51" s="1435"/>
      <c r="G51" s="1404"/>
      <c r="H51" s="1474"/>
      <c r="I51" s="1474"/>
      <c r="J51" s="1412"/>
      <c r="K51" s="1475"/>
      <c r="L51" s="1771">
        <f t="shared" si="3"/>
        <v>0</v>
      </c>
    </row>
    <row r="52" spans="2:13" x14ac:dyDescent="0.25">
      <c r="B52" s="2428"/>
      <c r="C52" s="2429"/>
      <c r="D52" s="2430"/>
      <c r="E52" s="1408"/>
      <c r="F52" s="1435"/>
      <c r="G52" s="1404"/>
      <c r="H52" s="1474"/>
      <c r="I52" s="1474"/>
      <c r="J52" s="1412"/>
      <c r="K52" s="1475"/>
      <c r="L52" s="1771">
        <f t="shared" si="3"/>
        <v>0</v>
      </c>
    </row>
    <row r="53" spans="2:13" ht="13.8" thickBot="1" x14ac:dyDescent="0.3">
      <c r="B53" s="2428"/>
      <c r="C53" s="2429"/>
      <c r="D53" s="2430"/>
      <c r="E53" s="1408"/>
      <c r="F53" s="1435"/>
      <c r="G53" s="1404"/>
      <c r="H53" s="1474"/>
      <c r="I53" s="1474"/>
      <c r="J53" s="1412"/>
      <c r="K53" s="1475"/>
      <c r="L53" s="1771">
        <f t="shared" si="3"/>
        <v>0</v>
      </c>
    </row>
    <row r="54" spans="2:13" ht="13.8" thickBot="1" x14ac:dyDescent="0.3">
      <c r="B54" s="1717"/>
      <c r="C54" s="1718"/>
      <c r="D54" s="1718"/>
      <c r="E54" s="141"/>
      <c r="F54" s="141"/>
      <c r="G54" s="141"/>
      <c r="H54" s="316" t="s">
        <v>1436</v>
      </c>
      <c r="I54" s="314"/>
      <c r="J54" s="314"/>
      <c r="K54" s="317">
        <f>SUM(L44:L53)</f>
        <v>0</v>
      </c>
      <c r="M54" s="1774">
        <f>K54+K107+K160</f>
        <v>0</v>
      </c>
    </row>
    <row r="55" spans="2:13" ht="16.2" thickBot="1" x14ac:dyDescent="0.35">
      <c r="B55" s="2433" t="s">
        <v>956</v>
      </c>
      <c r="C55" s="2434"/>
      <c r="D55" s="2434"/>
      <c r="E55" s="2434"/>
      <c r="F55" s="2434"/>
      <c r="G55" s="2434"/>
      <c r="H55" s="2434"/>
      <c r="I55" s="2434"/>
      <c r="J55" s="2434"/>
      <c r="K55" s="2435"/>
      <c r="L55" s="1775"/>
    </row>
    <row r="56" spans="2:13" x14ac:dyDescent="0.25">
      <c r="B56" s="1487" t="s">
        <v>896</v>
      </c>
      <c r="C56" s="949"/>
      <c r="D56" s="949"/>
      <c r="E56" s="949"/>
      <c r="F56" s="949"/>
      <c r="G56" s="949"/>
      <c r="H56" s="949"/>
      <c r="I56" s="949"/>
      <c r="J56" s="949"/>
      <c r="K56" s="1374"/>
      <c r="M56" s="1493">
        <f>K30+K83+K136</f>
        <v>0</v>
      </c>
    </row>
    <row r="57" spans="2:13" ht="13.95" customHeight="1" thickBot="1" x14ac:dyDescent="0.3">
      <c r="B57" s="1488" t="s">
        <v>1266</v>
      </c>
      <c r="C57" s="1489"/>
      <c r="D57" s="1489"/>
      <c r="E57" s="1489"/>
      <c r="F57" s="1489"/>
      <c r="G57" s="1489"/>
      <c r="H57" s="1489"/>
      <c r="I57" s="1489"/>
      <c r="J57" s="1489"/>
      <c r="K57" s="1490"/>
    </row>
    <row r="58" spans="2:13" x14ac:dyDescent="0.25">
      <c r="B58" s="432"/>
      <c r="C58" s="337"/>
      <c r="D58" s="337"/>
      <c r="E58" s="1424"/>
      <c r="F58" s="305"/>
      <c r="G58" s="68"/>
      <c r="H58" s="306"/>
      <c r="I58" s="306"/>
      <c r="J58" s="306"/>
      <c r="K58" s="306"/>
    </row>
    <row r="59" spans="2:13" ht="14.4" x14ac:dyDescent="0.3">
      <c r="B59" s="1421" t="s">
        <v>1267</v>
      </c>
      <c r="C59" s="953"/>
      <c r="D59" s="953"/>
      <c r="E59" s="1425"/>
      <c r="F59" s="1401" t="s">
        <v>1269</v>
      </c>
      <c r="G59" s="324" t="s">
        <v>19</v>
      </c>
      <c r="H59" s="307" t="s">
        <v>897</v>
      </c>
      <c r="I59" s="307" t="s">
        <v>897</v>
      </c>
      <c r="J59" s="307" t="s">
        <v>898</v>
      </c>
      <c r="K59" s="307" t="s">
        <v>899</v>
      </c>
    </row>
    <row r="60" spans="2:13" ht="14.4" x14ac:dyDescent="0.3">
      <c r="B60" s="1423" t="s">
        <v>619</v>
      </c>
      <c r="C60" s="1422"/>
      <c r="D60" s="1422"/>
      <c r="E60" s="1425"/>
      <c r="F60" s="1401" t="s">
        <v>170</v>
      </c>
      <c r="G60" s="324" t="s">
        <v>910</v>
      </c>
      <c r="H60" s="307" t="s">
        <v>900</v>
      </c>
      <c r="I60" s="307" t="s">
        <v>901</v>
      </c>
      <c r="J60" s="307" t="s">
        <v>902</v>
      </c>
      <c r="K60" s="307" t="s">
        <v>903</v>
      </c>
    </row>
    <row r="61" spans="2:13" ht="15" thickBot="1" x14ac:dyDescent="0.35">
      <c r="B61" s="2495" t="s">
        <v>905</v>
      </c>
      <c r="C61" s="2505"/>
      <c r="D61" s="2505"/>
      <c r="E61" s="1426" t="s">
        <v>906</v>
      </c>
      <c r="F61" s="1420" t="s">
        <v>904</v>
      </c>
      <c r="G61" s="68"/>
      <c r="H61" s="308" t="s">
        <v>907</v>
      </c>
      <c r="I61" s="308" t="s">
        <v>907</v>
      </c>
      <c r="J61" s="307" t="s">
        <v>908</v>
      </c>
      <c r="K61" s="307" t="s">
        <v>909</v>
      </c>
    </row>
    <row r="62" spans="2:13" ht="13.8" thickBot="1" x14ac:dyDescent="0.3">
      <c r="B62" s="793" t="s">
        <v>1447</v>
      </c>
      <c r="C62" s="803"/>
      <c r="D62" s="803"/>
      <c r="E62" s="1510"/>
      <c r="F62" s="1510"/>
      <c r="G62" s="1510"/>
      <c r="H62" s="1510"/>
      <c r="I62" s="1510"/>
      <c r="J62" s="1510"/>
      <c r="K62" s="1511"/>
    </row>
    <row r="63" spans="2:13" x14ac:dyDescent="0.25">
      <c r="B63" s="2497"/>
      <c r="C63" s="2498"/>
      <c r="D63" s="2498"/>
      <c r="E63" s="1409"/>
      <c r="F63" s="1432"/>
      <c r="G63" s="1479"/>
      <c r="H63" s="1472"/>
      <c r="I63" s="1472"/>
      <c r="J63" s="1415"/>
      <c r="K63" s="1473"/>
      <c r="L63" s="1776">
        <f>IF(K63="",0,1)</f>
        <v>0</v>
      </c>
    </row>
    <row r="64" spans="2:13" x14ac:dyDescent="0.25">
      <c r="B64" s="2499"/>
      <c r="C64" s="2500"/>
      <c r="D64" s="2500"/>
      <c r="E64" s="1410"/>
      <c r="F64" s="1433"/>
      <c r="G64" s="1479"/>
      <c r="H64" s="1472"/>
      <c r="I64" s="1472"/>
      <c r="J64" s="1415"/>
      <c r="K64" s="1473"/>
      <c r="L64" s="1776">
        <f>IF(K64="",0,1)</f>
        <v>0</v>
      </c>
    </row>
    <row r="65" spans="2:12" x14ac:dyDescent="0.25">
      <c r="B65" s="2499"/>
      <c r="C65" s="2500"/>
      <c r="D65" s="2500"/>
      <c r="E65" s="1410"/>
      <c r="F65" s="1433"/>
      <c r="G65" s="1479"/>
      <c r="H65" s="1472"/>
      <c r="I65" s="1472"/>
      <c r="J65" s="1415"/>
      <c r="K65" s="1473"/>
      <c r="L65" s="1776">
        <f t="shared" ref="L65:L73" si="4">IF(K65="",0,1)</f>
        <v>0</v>
      </c>
    </row>
    <row r="66" spans="2:12" x14ac:dyDescent="0.25">
      <c r="B66" s="2493"/>
      <c r="C66" s="2494"/>
      <c r="D66" s="2494"/>
      <c r="E66" s="1411"/>
      <c r="F66" s="1431"/>
      <c r="G66" s="1480"/>
      <c r="H66" s="1474"/>
      <c r="I66" s="1474"/>
      <c r="J66" s="1412"/>
      <c r="K66" s="1473"/>
      <c r="L66" s="1776">
        <f t="shared" si="4"/>
        <v>0</v>
      </c>
    </row>
    <row r="67" spans="2:12" x14ac:dyDescent="0.25">
      <c r="B67" s="2493"/>
      <c r="C67" s="2494"/>
      <c r="D67" s="2494"/>
      <c r="E67" s="1411"/>
      <c r="F67" s="1431"/>
      <c r="G67" s="1416"/>
      <c r="H67" s="1474"/>
      <c r="I67" s="1474"/>
      <c r="J67" s="1412"/>
      <c r="K67" s="1473"/>
      <c r="L67" s="1776">
        <f t="shared" si="4"/>
        <v>0</v>
      </c>
    </row>
    <row r="68" spans="2:12" x14ac:dyDescent="0.25">
      <c r="B68" s="2493"/>
      <c r="C68" s="2494"/>
      <c r="D68" s="2494"/>
      <c r="E68" s="1411"/>
      <c r="F68" s="1431"/>
      <c r="G68" s="1416"/>
      <c r="H68" s="1474"/>
      <c r="I68" s="1474"/>
      <c r="J68" s="1412"/>
      <c r="K68" s="1473"/>
      <c r="L68" s="1776">
        <f t="shared" si="4"/>
        <v>0</v>
      </c>
    </row>
    <row r="69" spans="2:12" x14ac:dyDescent="0.25">
      <c r="B69" s="2493"/>
      <c r="C69" s="2494"/>
      <c r="D69" s="2494"/>
      <c r="E69" s="1411"/>
      <c r="F69" s="1431"/>
      <c r="G69" s="1416"/>
      <c r="H69" s="1474"/>
      <c r="I69" s="1474"/>
      <c r="J69" s="1412"/>
      <c r="K69" s="1473"/>
      <c r="L69" s="1776">
        <f t="shared" si="4"/>
        <v>0</v>
      </c>
    </row>
    <row r="70" spans="2:12" x14ac:dyDescent="0.25">
      <c r="B70" s="2493"/>
      <c r="C70" s="2494"/>
      <c r="D70" s="2494"/>
      <c r="E70" s="1411"/>
      <c r="F70" s="1431"/>
      <c r="G70" s="1416"/>
      <c r="H70" s="1474"/>
      <c r="I70" s="1474"/>
      <c r="J70" s="1412"/>
      <c r="K70" s="1473"/>
      <c r="L70" s="1776">
        <f t="shared" si="4"/>
        <v>0</v>
      </c>
    </row>
    <row r="71" spans="2:12" x14ac:dyDescent="0.25">
      <c r="B71" s="2493"/>
      <c r="C71" s="2494"/>
      <c r="D71" s="2494"/>
      <c r="E71" s="1411"/>
      <c r="F71" s="1431"/>
      <c r="G71" s="1416"/>
      <c r="H71" s="1474"/>
      <c r="I71" s="1474"/>
      <c r="J71" s="1412"/>
      <c r="K71" s="1473"/>
      <c r="L71" s="1776">
        <f t="shared" si="4"/>
        <v>0</v>
      </c>
    </row>
    <row r="72" spans="2:12" x14ac:dyDescent="0.25">
      <c r="B72" s="2493"/>
      <c r="C72" s="2494"/>
      <c r="D72" s="2494"/>
      <c r="E72" s="1411"/>
      <c r="F72" s="1431"/>
      <c r="G72" s="1416"/>
      <c r="H72" s="1474"/>
      <c r="I72" s="1474"/>
      <c r="J72" s="1412"/>
      <c r="K72" s="1473"/>
      <c r="L72" s="1776">
        <f t="shared" si="4"/>
        <v>0</v>
      </c>
    </row>
    <row r="73" spans="2:12" ht="13.8" thickBot="1" x14ac:dyDescent="0.3">
      <c r="B73" s="2493"/>
      <c r="C73" s="2494"/>
      <c r="D73" s="2494"/>
      <c r="E73" s="1411"/>
      <c r="F73" s="1431"/>
      <c r="G73" s="1416"/>
      <c r="H73" s="1476"/>
      <c r="I73" s="1476"/>
      <c r="J73" s="1418"/>
      <c r="K73" s="1473"/>
      <c r="L73" s="1776">
        <f t="shared" si="4"/>
        <v>0</v>
      </c>
    </row>
    <row r="74" spans="2:12" ht="13.8" thickBot="1" x14ac:dyDescent="0.3">
      <c r="B74" s="2488" t="s">
        <v>1268</v>
      </c>
      <c r="C74" s="2489"/>
      <c r="D74" s="2489"/>
      <c r="E74" s="319"/>
      <c r="F74" s="325"/>
      <c r="G74" s="320"/>
      <c r="H74" s="316" t="s">
        <v>1437</v>
      </c>
      <c r="I74" s="314"/>
      <c r="J74" s="314"/>
      <c r="K74" s="1491">
        <f>SUM(L63:L73)</f>
        <v>0</v>
      </c>
    </row>
    <row r="75" spans="2:12" ht="13.8" thickBot="1" x14ac:dyDescent="0.3">
      <c r="B75" s="793" t="s">
        <v>1445</v>
      </c>
      <c r="C75" s="803"/>
      <c r="D75" s="803"/>
      <c r="E75" s="1510"/>
      <c r="F75" s="1510"/>
      <c r="G75" s="1510"/>
      <c r="H75" s="1510"/>
      <c r="I75" s="1510"/>
      <c r="J75" s="1510"/>
      <c r="K75" s="1724"/>
    </row>
    <row r="76" spans="2:12" x14ac:dyDescent="0.25">
      <c r="B76" s="2497"/>
      <c r="C76" s="2504"/>
      <c r="D76" s="2504"/>
      <c r="E76" s="1413"/>
      <c r="F76" s="1430"/>
      <c r="G76" s="1481"/>
      <c r="H76" s="1482"/>
      <c r="I76" s="1482"/>
      <c r="J76" s="1594"/>
      <c r="K76" s="1492"/>
      <c r="L76" s="1776">
        <f>IF(K76="",0,1)</f>
        <v>0</v>
      </c>
    </row>
    <row r="77" spans="2:12" x14ac:dyDescent="0.25">
      <c r="B77" s="2493"/>
      <c r="C77" s="2494"/>
      <c r="D77" s="2494"/>
      <c r="E77" s="1411"/>
      <c r="F77" s="1431"/>
      <c r="G77" s="1416"/>
      <c r="H77" s="1474"/>
      <c r="I77" s="1474"/>
      <c r="J77" s="1404"/>
      <c r="K77" s="1475"/>
      <c r="L77" s="1776">
        <f t="shared" ref="L77:L82" si="5">IF(K77="",0,1)</f>
        <v>0</v>
      </c>
    </row>
    <row r="78" spans="2:12" x14ac:dyDescent="0.25">
      <c r="B78" s="2493"/>
      <c r="C78" s="2494"/>
      <c r="D78" s="2494"/>
      <c r="E78" s="1411"/>
      <c r="F78" s="1431"/>
      <c r="G78" s="1416"/>
      <c r="H78" s="1474"/>
      <c r="I78" s="1474"/>
      <c r="J78" s="1404"/>
      <c r="K78" s="1475"/>
      <c r="L78" s="1776">
        <f t="shared" si="5"/>
        <v>0</v>
      </c>
    </row>
    <row r="79" spans="2:12" x14ac:dyDescent="0.25">
      <c r="B79" s="2493"/>
      <c r="C79" s="2494"/>
      <c r="D79" s="2494"/>
      <c r="E79" s="1411"/>
      <c r="F79" s="1431"/>
      <c r="G79" s="1416"/>
      <c r="H79" s="1474"/>
      <c r="I79" s="1474"/>
      <c r="J79" s="1404"/>
      <c r="K79" s="1475"/>
      <c r="L79" s="1776">
        <f t="shared" si="5"/>
        <v>0</v>
      </c>
    </row>
    <row r="80" spans="2:12" x14ac:dyDescent="0.25">
      <c r="B80" s="2493"/>
      <c r="C80" s="2494"/>
      <c r="D80" s="2494"/>
      <c r="E80" s="1411"/>
      <c r="F80" s="1431"/>
      <c r="G80" s="1416"/>
      <c r="H80" s="1474"/>
      <c r="I80" s="1474"/>
      <c r="J80" s="1404"/>
      <c r="K80" s="1475"/>
      <c r="L80" s="1776">
        <f t="shared" si="5"/>
        <v>0</v>
      </c>
    </row>
    <row r="81" spans="1:12" x14ac:dyDescent="0.25">
      <c r="B81" s="2493"/>
      <c r="C81" s="2494"/>
      <c r="D81" s="2494"/>
      <c r="E81" s="1411"/>
      <c r="F81" s="1431"/>
      <c r="G81" s="1416"/>
      <c r="H81" s="1474"/>
      <c r="I81" s="1474"/>
      <c r="J81" s="1404"/>
      <c r="K81" s="1475"/>
      <c r="L81" s="1776">
        <f t="shared" si="5"/>
        <v>0</v>
      </c>
    </row>
    <row r="82" spans="1:12" ht="13.8" thickBot="1" x14ac:dyDescent="0.3">
      <c r="B82" s="2493"/>
      <c r="C82" s="2494"/>
      <c r="D82" s="2494"/>
      <c r="E82" s="1411"/>
      <c r="F82" s="1431"/>
      <c r="G82" s="1416"/>
      <c r="H82" s="1476"/>
      <c r="I82" s="1476"/>
      <c r="J82" s="1595"/>
      <c r="K82" s="1597"/>
      <c r="L82" s="1776">
        <f t="shared" si="5"/>
        <v>0</v>
      </c>
    </row>
    <row r="83" spans="1:12" ht="13.8" thickBot="1" x14ac:dyDescent="0.3">
      <c r="B83" s="2488" t="s">
        <v>1268</v>
      </c>
      <c r="C83" s="2489"/>
      <c r="D83" s="2489"/>
      <c r="E83" s="319"/>
      <c r="F83" s="319"/>
      <c r="G83" s="309"/>
      <c r="H83" s="316" t="s">
        <v>1438</v>
      </c>
      <c r="I83" s="314"/>
      <c r="J83" s="314"/>
      <c r="K83" s="1596">
        <f>SUM(L76:L82)</f>
        <v>0</v>
      </c>
    </row>
    <row r="84" spans="1:12" ht="13.8" thickBot="1" x14ac:dyDescent="0.3">
      <c r="B84" s="793" t="s">
        <v>1444</v>
      </c>
      <c r="C84" s="803"/>
      <c r="D84" s="803"/>
      <c r="E84" s="1510"/>
      <c r="F84" s="1510"/>
      <c r="G84" s="1510"/>
      <c r="H84" s="1510"/>
      <c r="I84" s="1510"/>
      <c r="J84" s="1510"/>
      <c r="K84" s="1511"/>
    </row>
    <row r="85" spans="1:12" x14ac:dyDescent="0.25">
      <c r="A85" s="1397"/>
      <c r="B85" s="2501"/>
      <c r="C85" s="2502"/>
      <c r="D85" s="2503"/>
      <c r="E85" s="1414"/>
      <c r="F85" s="1434"/>
      <c r="G85" s="1483"/>
      <c r="H85" s="1478"/>
      <c r="I85" s="1478"/>
      <c r="J85" s="1415"/>
      <c r="K85" s="1473"/>
      <c r="L85" s="1776">
        <f t="shared" ref="L85:L94" si="6">IF(K85="",0,1)</f>
        <v>0</v>
      </c>
    </row>
    <row r="86" spans="1:12" x14ac:dyDescent="0.25">
      <c r="A86" s="1397"/>
      <c r="B86" s="2428"/>
      <c r="C86" s="2429"/>
      <c r="D86" s="2430"/>
      <c r="E86" s="1411"/>
      <c r="F86" s="1431"/>
      <c r="G86" s="1416"/>
      <c r="H86" s="1474"/>
      <c r="I86" s="1474"/>
      <c r="J86" s="1412"/>
      <c r="K86" s="1473"/>
      <c r="L86" s="1776">
        <f t="shared" si="6"/>
        <v>0</v>
      </c>
    </row>
    <row r="87" spans="1:12" x14ac:dyDescent="0.25">
      <c r="A87" s="1397"/>
      <c r="B87" s="2428"/>
      <c r="C87" s="2429"/>
      <c r="D87" s="2430"/>
      <c r="E87" s="1411"/>
      <c r="F87" s="1431"/>
      <c r="G87" s="1416"/>
      <c r="H87" s="1474"/>
      <c r="I87" s="1474"/>
      <c r="J87" s="1412"/>
      <c r="K87" s="1473"/>
      <c r="L87" s="1776">
        <f t="shared" si="6"/>
        <v>0</v>
      </c>
    </row>
    <row r="88" spans="1:12" x14ac:dyDescent="0.25">
      <c r="A88" s="1397"/>
      <c r="B88" s="2428"/>
      <c r="C88" s="2429"/>
      <c r="D88" s="2430"/>
      <c r="E88" s="1416"/>
      <c r="F88" s="1431"/>
      <c r="G88" s="1416"/>
      <c r="H88" s="1474"/>
      <c r="I88" s="1474"/>
      <c r="J88" s="1412"/>
      <c r="K88" s="1473"/>
      <c r="L88" s="1776">
        <f t="shared" si="6"/>
        <v>0</v>
      </c>
    </row>
    <row r="89" spans="1:12" x14ac:dyDescent="0.25">
      <c r="A89" s="1397"/>
      <c r="B89" s="2428"/>
      <c r="C89" s="2429"/>
      <c r="D89" s="2430"/>
      <c r="E89" s="1416"/>
      <c r="F89" s="1431"/>
      <c r="G89" s="1416"/>
      <c r="H89" s="1474"/>
      <c r="I89" s="1474"/>
      <c r="J89" s="1412"/>
      <c r="K89" s="1473"/>
      <c r="L89" s="1776">
        <f t="shared" si="6"/>
        <v>0</v>
      </c>
    </row>
    <row r="90" spans="1:12" x14ac:dyDescent="0.25">
      <c r="A90" s="1397"/>
      <c r="B90" s="2428"/>
      <c r="C90" s="2429"/>
      <c r="D90" s="2430"/>
      <c r="E90" s="1416"/>
      <c r="F90" s="1431"/>
      <c r="G90" s="1416"/>
      <c r="H90" s="1474"/>
      <c r="I90" s="1474"/>
      <c r="J90" s="1412"/>
      <c r="K90" s="1473"/>
      <c r="L90" s="1776">
        <f t="shared" si="6"/>
        <v>0</v>
      </c>
    </row>
    <row r="91" spans="1:12" x14ac:dyDescent="0.25">
      <c r="A91" s="1397"/>
      <c r="B91" s="2428"/>
      <c r="C91" s="2429"/>
      <c r="D91" s="2430"/>
      <c r="E91" s="1416"/>
      <c r="F91" s="1431"/>
      <c r="G91" s="1416"/>
      <c r="H91" s="1474"/>
      <c r="I91" s="1474"/>
      <c r="J91" s="1412"/>
      <c r="K91" s="1475"/>
      <c r="L91" s="1776">
        <f t="shared" si="6"/>
        <v>0</v>
      </c>
    </row>
    <row r="92" spans="1:12" x14ac:dyDescent="0.25">
      <c r="A92" s="1397"/>
      <c r="B92" s="2428"/>
      <c r="C92" s="2429"/>
      <c r="D92" s="2430"/>
      <c r="E92" s="1411"/>
      <c r="F92" s="1431"/>
      <c r="G92" s="1416"/>
      <c r="H92" s="1474"/>
      <c r="I92" s="1474"/>
      <c r="J92" s="1412"/>
      <c r="K92" s="1475"/>
      <c r="L92" s="1776">
        <f t="shared" si="6"/>
        <v>0</v>
      </c>
    </row>
    <row r="93" spans="1:12" x14ac:dyDescent="0.25">
      <c r="A93" s="1397"/>
      <c r="B93" s="2428"/>
      <c r="C93" s="2429"/>
      <c r="D93" s="2430"/>
      <c r="E93" s="1411"/>
      <c r="F93" s="1431"/>
      <c r="G93" s="1416"/>
      <c r="H93" s="1474"/>
      <c r="I93" s="1474"/>
      <c r="J93" s="1412"/>
      <c r="K93" s="1475"/>
      <c r="L93" s="1776">
        <f t="shared" si="6"/>
        <v>0</v>
      </c>
    </row>
    <row r="94" spans="1:12" ht="13.95" customHeight="1" thickBot="1" x14ac:dyDescent="0.3">
      <c r="B94" s="2428"/>
      <c r="C94" s="2429"/>
      <c r="D94" s="2430"/>
      <c r="E94" s="1411"/>
      <c r="F94" s="1431"/>
      <c r="G94" s="1484"/>
      <c r="H94" s="1457"/>
      <c r="I94" s="1457"/>
      <c r="J94" s="1417"/>
      <c r="K94" s="1720"/>
      <c r="L94" s="1776">
        <f t="shared" si="6"/>
        <v>0</v>
      </c>
    </row>
    <row r="95" spans="1:12" ht="13.95" customHeight="1" thickBot="1" x14ac:dyDescent="0.3">
      <c r="B95" s="2488" t="s">
        <v>1268</v>
      </c>
      <c r="C95" s="2489"/>
      <c r="D95" s="2489"/>
      <c r="E95" s="320"/>
      <c r="F95" s="320"/>
      <c r="G95" s="309"/>
      <c r="H95" s="316" t="s">
        <v>1434</v>
      </c>
      <c r="I95" s="314"/>
      <c r="J95" s="314"/>
      <c r="K95" s="317">
        <f>SUM(L85:L94)</f>
        <v>0</v>
      </c>
    </row>
    <row r="96" spans="1:12" ht="13.95" customHeight="1" thickBot="1" x14ac:dyDescent="0.3">
      <c r="B96" s="1781" t="s">
        <v>1443</v>
      </c>
      <c r="C96" s="1782"/>
      <c r="D96" s="1782"/>
      <c r="E96" s="1783"/>
      <c r="F96" s="1783"/>
      <c r="G96" s="1783"/>
      <c r="H96" s="803"/>
      <c r="I96" s="1510"/>
      <c r="J96" s="1510"/>
      <c r="K96" s="1780"/>
      <c r="L96" s="1776"/>
    </row>
    <row r="97" spans="2:13" ht="13.95" customHeight="1" x14ac:dyDescent="0.25">
      <c r="B97" s="2490"/>
      <c r="C97" s="2491"/>
      <c r="D97" s="2492"/>
      <c r="E97" s="1407"/>
      <c r="F97" s="1436"/>
      <c r="G97" s="1477"/>
      <c r="H97" s="1478"/>
      <c r="I97" s="1478"/>
      <c r="J97" s="1415"/>
      <c r="K97" s="1473"/>
      <c r="L97" s="1776">
        <f t="shared" ref="L97:L106" si="7">IF(K97="",0,1)</f>
        <v>0</v>
      </c>
    </row>
    <row r="98" spans="2:13" ht="13.95" customHeight="1" x14ac:dyDescent="0.25">
      <c r="B98" s="2428"/>
      <c r="C98" s="2429"/>
      <c r="D98" s="2430"/>
      <c r="E98" s="1408"/>
      <c r="F98" s="1435"/>
      <c r="G98" s="1404"/>
      <c r="H98" s="1474"/>
      <c r="I98" s="1474"/>
      <c r="J98" s="1412"/>
      <c r="K98" s="1473"/>
      <c r="L98" s="1776">
        <f t="shared" si="7"/>
        <v>0</v>
      </c>
    </row>
    <row r="99" spans="2:13" ht="13.95" customHeight="1" x14ac:dyDescent="0.25">
      <c r="B99" s="2428"/>
      <c r="C99" s="2429"/>
      <c r="D99" s="2430"/>
      <c r="E99" s="1408"/>
      <c r="F99" s="1435"/>
      <c r="G99" s="1404"/>
      <c r="H99" s="1474"/>
      <c r="I99" s="1474"/>
      <c r="J99" s="1412"/>
      <c r="K99" s="1473"/>
      <c r="L99" s="1776">
        <f t="shared" si="7"/>
        <v>0</v>
      </c>
    </row>
    <row r="100" spans="2:13" ht="13.95" customHeight="1" x14ac:dyDescent="0.25">
      <c r="B100" s="2428"/>
      <c r="C100" s="2429"/>
      <c r="D100" s="2430"/>
      <c r="E100" s="1408"/>
      <c r="F100" s="1435"/>
      <c r="G100" s="1404"/>
      <c r="H100" s="1474"/>
      <c r="I100" s="1474"/>
      <c r="J100" s="1412"/>
      <c r="K100" s="1473"/>
      <c r="L100" s="1776">
        <f t="shared" si="7"/>
        <v>0</v>
      </c>
    </row>
    <row r="101" spans="2:13" ht="13.95" customHeight="1" x14ac:dyDescent="0.25">
      <c r="B101" s="2428"/>
      <c r="C101" s="2429"/>
      <c r="D101" s="2430"/>
      <c r="E101" s="1408"/>
      <c r="F101" s="1435"/>
      <c r="G101" s="1404"/>
      <c r="H101" s="1474"/>
      <c r="I101" s="1474"/>
      <c r="J101" s="1412"/>
      <c r="K101" s="1475"/>
      <c r="L101" s="1776">
        <f t="shared" si="7"/>
        <v>0</v>
      </c>
    </row>
    <row r="102" spans="2:13" ht="13.95" customHeight="1" x14ac:dyDescent="0.25">
      <c r="B102" s="2428"/>
      <c r="C102" s="2429"/>
      <c r="D102" s="2430"/>
      <c r="E102" s="1408"/>
      <c r="F102" s="1435"/>
      <c r="G102" s="1404"/>
      <c r="H102" s="1474"/>
      <c r="I102" s="1474"/>
      <c r="J102" s="1412"/>
      <c r="K102" s="1475"/>
      <c r="L102" s="1776">
        <f t="shared" si="7"/>
        <v>0</v>
      </c>
    </row>
    <row r="103" spans="2:13" ht="13.95" customHeight="1" x14ac:dyDescent="0.25">
      <c r="B103" s="2428"/>
      <c r="C103" s="2429"/>
      <c r="D103" s="2430"/>
      <c r="E103" s="1408"/>
      <c r="F103" s="1435"/>
      <c r="G103" s="1404"/>
      <c r="H103" s="1474"/>
      <c r="I103" s="1474"/>
      <c r="J103" s="1412"/>
      <c r="K103" s="1475"/>
      <c r="L103" s="1776">
        <f t="shared" si="7"/>
        <v>0</v>
      </c>
    </row>
    <row r="104" spans="2:13" ht="13.95" customHeight="1" x14ac:dyDescent="0.25">
      <c r="B104" s="2428"/>
      <c r="C104" s="2429"/>
      <c r="D104" s="2430"/>
      <c r="E104" s="1408"/>
      <c r="F104" s="1435"/>
      <c r="G104" s="1404"/>
      <c r="H104" s="1474"/>
      <c r="I104" s="1474"/>
      <c r="J104" s="1412"/>
      <c r="K104" s="1475"/>
      <c r="L104" s="1776">
        <f t="shared" si="7"/>
        <v>0</v>
      </c>
    </row>
    <row r="105" spans="2:13" ht="13.95" customHeight="1" x14ac:dyDescent="0.25">
      <c r="B105" s="2428"/>
      <c r="C105" s="2429"/>
      <c r="D105" s="2430"/>
      <c r="E105" s="1408"/>
      <c r="F105" s="1435"/>
      <c r="G105" s="1404"/>
      <c r="H105" s="1474"/>
      <c r="I105" s="1474"/>
      <c r="J105" s="1412"/>
      <c r="K105" s="1475"/>
      <c r="L105" s="1776">
        <f t="shared" si="7"/>
        <v>0</v>
      </c>
    </row>
    <row r="106" spans="2:13" ht="13.95" customHeight="1" thickBot="1" x14ac:dyDescent="0.3">
      <c r="B106" s="2428"/>
      <c r="C106" s="2429"/>
      <c r="D106" s="2430"/>
      <c r="E106" s="1408"/>
      <c r="F106" s="1435"/>
      <c r="G106" s="1404"/>
      <c r="H106" s="1474"/>
      <c r="I106" s="1474"/>
      <c r="J106" s="1412"/>
      <c r="K106" s="1475"/>
      <c r="L106" s="1776">
        <f t="shared" si="7"/>
        <v>0</v>
      </c>
    </row>
    <row r="107" spans="2:13" ht="13.95" customHeight="1" thickBot="1" x14ac:dyDescent="0.3">
      <c r="B107" s="1717"/>
      <c r="C107" s="1718"/>
      <c r="D107" s="1718"/>
      <c r="E107" s="141"/>
      <c r="F107" s="141"/>
      <c r="G107" s="141"/>
      <c r="H107" s="316" t="s">
        <v>1436</v>
      </c>
      <c r="I107" s="314"/>
      <c r="J107" s="314"/>
      <c r="K107" s="317">
        <f>SUM(L97:L106)</f>
        <v>0</v>
      </c>
    </row>
    <row r="108" spans="2:13" ht="16.2" thickBot="1" x14ac:dyDescent="0.35">
      <c r="B108" s="2433" t="s">
        <v>956</v>
      </c>
      <c r="C108" s="2434"/>
      <c r="D108" s="2434"/>
      <c r="E108" s="2434"/>
      <c r="F108" s="2434"/>
      <c r="G108" s="2434"/>
      <c r="H108" s="2434"/>
      <c r="I108" s="2434"/>
      <c r="J108" s="2434"/>
      <c r="K108" s="2435"/>
    </row>
    <row r="109" spans="2:13" x14ac:dyDescent="0.25">
      <c r="B109" s="1487" t="s">
        <v>896</v>
      </c>
      <c r="C109" s="949"/>
      <c r="D109" s="949"/>
      <c r="E109" s="949"/>
      <c r="F109" s="949"/>
      <c r="G109" s="949"/>
      <c r="H109" s="949"/>
      <c r="I109" s="949"/>
      <c r="J109" s="949"/>
      <c r="K109" s="1374"/>
      <c r="M109" s="1493">
        <f>K42+K95+K148</f>
        <v>0</v>
      </c>
    </row>
    <row r="110" spans="2:13" ht="13.95" customHeight="1" thickBot="1" x14ac:dyDescent="0.3">
      <c r="B110" s="1488" t="s">
        <v>1266</v>
      </c>
      <c r="C110" s="1489"/>
      <c r="D110" s="1489"/>
      <c r="E110" s="1489"/>
      <c r="F110" s="1489"/>
      <c r="G110" s="1489"/>
      <c r="H110" s="1489"/>
      <c r="I110" s="1489"/>
      <c r="J110" s="1489"/>
      <c r="K110" s="1490"/>
    </row>
    <row r="111" spans="2:13" x14ac:dyDescent="0.25">
      <c r="B111" s="432"/>
      <c r="C111" s="337"/>
      <c r="D111" s="337"/>
      <c r="E111" s="1424"/>
      <c r="F111" s="305"/>
      <c r="G111" s="68"/>
      <c r="H111" s="306"/>
      <c r="I111" s="306"/>
      <c r="J111" s="306"/>
      <c r="K111" s="306"/>
    </row>
    <row r="112" spans="2:13" ht="14.4" x14ac:dyDescent="0.3">
      <c r="B112" s="1421" t="s">
        <v>1267</v>
      </c>
      <c r="C112" s="953"/>
      <c r="D112" s="953"/>
      <c r="E112" s="1425"/>
      <c r="F112" s="1401" t="s">
        <v>955</v>
      </c>
      <c r="G112" s="324" t="s">
        <v>19</v>
      </c>
      <c r="H112" s="307" t="s">
        <v>897</v>
      </c>
      <c r="I112" s="307" t="s">
        <v>897</v>
      </c>
      <c r="J112" s="307" t="s">
        <v>898</v>
      </c>
      <c r="K112" s="307" t="s">
        <v>899</v>
      </c>
    </row>
    <row r="113" spans="2:12" ht="14.4" x14ac:dyDescent="0.3">
      <c r="B113" s="1423" t="s">
        <v>619</v>
      </c>
      <c r="C113" s="1422"/>
      <c r="D113" s="1422"/>
      <c r="E113" s="1425"/>
      <c r="F113" s="1401" t="s">
        <v>170</v>
      </c>
      <c r="G113" s="324" t="s">
        <v>910</v>
      </c>
      <c r="H113" s="307" t="s">
        <v>900</v>
      </c>
      <c r="I113" s="307" t="s">
        <v>901</v>
      </c>
      <c r="J113" s="307" t="s">
        <v>902</v>
      </c>
      <c r="K113" s="307" t="s">
        <v>903</v>
      </c>
    </row>
    <row r="114" spans="2:12" ht="15" thickBot="1" x14ac:dyDescent="0.35">
      <c r="B114" s="2495" t="s">
        <v>905</v>
      </c>
      <c r="C114" s="2496"/>
      <c r="D114" s="141"/>
      <c r="E114" s="1426" t="s">
        <v>906</v>
      </c>
      <c r="F114" s="1420" t="s">
        <v>904</v>
      </c>
      <c r="G114" s="68"/>
      <c r="H114" s="308" t="s">
        <v>907</v>
      </c>
      <c r="I114" s="308" t="s">
        <v>907</v>
      </c>
      <c r="J114" s="307" t="s">
        <v>908</v>
      </c>
      <c r="K114" s="307" t="s">
        <v>909</v>
      </c>
    </row>
    <row r="115" spans="2:12" ht="13.8" thickBot="1" x14ac:dyDescent="0.3">
      <c r="B115" s="793" t="s">
        <v>1447</v>
      </c>
      <c r="C115" s="803"/>
      <c r="D115" s="803"/>
      <c r="E115" s="1510"/>
      <c r="F115" s="1510"/>
      <c r="G115" s="1510"/>
      <c r="H115" s="1510"/>
      <c r="I115" s="1510"/>
      <c r="J115" s="1510"/>
      <c r="K115" s="1511"/>
    </row>
    <row r="116" spans="2:12" x14ac:dyDescent="0.25">
      <c r="B116" s="2497"/>
      <c r="C116" s="2498"/>
      <c r="D116" s="2498"/>
      <c r="E116" s="1409"/>
      <c r="F116" s="1432"/>
      <c r="G116" s="1402"/>
      <c r="H116" s="1472"/>
      <c r="I116" s="1472"/>
      <c r="J116" s="1415"/>
      <c r="K116" s="1473"/>
      <c r="L116" s="1776">
        <f>IF(K116="",0,1)</f>
        <v>0</v>
      </c>
    </row>
    <row r="117" spans="2:12" x14ac:dyDescent="0.25">
      <c r="B117" s="2499"/>
      <c r="C117" s="2500"/>
      <c r="D117" s="2500"/>
      <c r="E117" s="1410"/>
      <c r="F117" s="1433"/>
      <c r="G117" s="1402"/>
      <c r="H117" s="1472"/>
      <c r="I117" s="1472"/>
      <c r="J117" s="1415"/>
      <c r="K117" s="1473"/>
      <c r="L117" s="1776">
        <f t="shared" ref="L117:L126" si="8">IF(K117="",0,1)</f>
        <v>0</v>
      </c>
    </row>
    <row r="118" spans="2:12" x14ac:dyDescent="0.25">
      <c r="B118" s="2499"/>
      <c r="C118" s="2500"/>
      <c r="D118" s="2500"/>
      <c r="E118" s="1410"/>
      <c r="F118" s="1433"/>
      <c r="G118" s="1402"/>
      <c r="H118" s="1472"/>
      <c r="I118" s="1472"/>
      <c r="J118" s="1415"/>
      <c r="K118" s="1473"/>
      <c r="L118" s="1776">
        <f t="shared" si="8"/>
        <v>0</v>
      </c>
    </row>
    <row r="119" spans="2:12" x14ac:dyDescent="0.25">
      <c r="B119" s="2493"/>
      <c r="C119" s="2494"/>
      <c r="D119" s="2494"/>
      <c r="E119" s="1411"/>
      <c r="F119" s="1431"/>
      <c r="G119" s="1404"/>
      <c r="H119" s="1474"/>
      <c r="I119" s="1474"/>
      <c r="J119" s="1412"/>
      <c r="K119" s="1473"/>
      <c r="L119" s="1776">
        <f t="shared" si="8"/>
        <v>0</v>
      </c>
    </row>
    <row r="120" spans="2:12" x14ac:dyDescent="0.25">
      <c r="B120" s="2493"/>
      <c r="C120" s="2494"/>
      <c r="D120" s="2494"/>
      <c r="E120" s="1411"/>
      <c r="F120" s="1431"/>
      <c r="G120" s="1404"/>
      <c r="H120" s="1474"/>
      <c r="I120" s="1474"/>
      <c r="J120" s="1412"/>
      <c r="K120" s="1473"/>
      <c r="L120" s="1776">
        <f t="shared" si="8"/>
        <v>0</v>
      </c>
    </row>
    <row r="121" spans="2:12" x14ac:dyDescent="0.25">
      <c r="B121" s="2493"/>
      <c r="C121" s="2494"/>
      <c r="D121" s="2494"/>
      <c r="E121" s="1411"/>
      <c r="F121" s="1431"/>
      <c r="G121" s="1404"/>
      <c r="H121" s="1474"/>
      <c r="I121" s="1474"/>
      <c r="J121" s="1412"/>
      <c r="K121" s="1473"/>
      <c r="L121" s="1776">
        <f t="shared" si="8"/>
        <v>0</v>
      </c>
    </row>
    <row r="122" spans="2:12" x14ac:dyDescent="0.25">
      <c r="B122" s="2493"/>
      <c r="C122" s="2494"/>
      <c r="D122" s="2494"/>
      <c r="E122" s="1411"/>
      <c r="F122" s="1431"/>
      <c r="G122" s="1404"/>
      <c r="H122" s="1474"/>
      <c r="I122" s="1474"/>
      <c r="J122" s="1412"/>
      <c r="K122" s="1473"/>
      <c r="L122" s="1776">
        <f t="shared" si="8"/>
        <v>0</v>
      </c>
    </row>
    <row r="123" spans="2:12" x14ac:dyDescent="0.25">
      <c r="B123" s="2493"/>
      <c r="C123" s="2494"/>
      <c r="D123" s="2494"/>
      <c r="E123" s="1411"/>
      <c r="F123" s="1431"/>
      <c r="G123" s="1404"/>
      <c r="H123" s="1474"/>
      <c r="I123" s="1474"/>
      <c r="J123" s="1412"/>
      <c r="K123" s="1473"/>
      <c r="L123" s="1776">
        <f t="shared" si="8"/>
        <v>0</v>
      </c>
    </row>
    <row r="124" spans="2:12" x14ac:dyDescent="0.25">
      <c r="B124" s="2493"/>
      <c r="C124" s="2494"/>
      <c r="D124" s="2494"/>
      <c r="E124" s="1411"/>
      <c r="F124" s="1431"/>
      <c r="G124" s="1404"/>
      <c r="H124" s="1474"/>
      <c r="I124" s="1474"/>
      <c r="J124" s="1412"/>
      <c r="K124" s="1473"/>
      <c r="L124" s="1776">
        <f t="shared" si="8"/>
        <v>0</v>
      </c>
    </row>
    <row r="125" spans="2:12" x14ac:dyDescent="0.25">
      <c r="B125" s="2493"/>
      <c r="C125" s="2494"/>
      <c r="D125" s="2494"/>
      <c r="E125" s="1411"/>
      <c r="F125" s="1431"/>
      <c r="G125" s="1404"/>
      <c r="H125" s="1474"/>
      <c r="I125" s="1474"/>
      <c r="J125" s="1412"/>
      <c r="K125" s="1473"/>
      <c r="L125" s="1776">
        <f t="shared" si="8"/>
        <v>0</v>
      </c>
    </row>
    <row r="126" spans="2:12" ht="13.8" thickBot="1" x14ac:dyDescent="0.3">
      <c r="B126" s="2493"/>
      <c r="C126" s="2494"/>
      <c r="D126" s="2494"/>
      <c r="E126" s="1411"/>
      <c r="F126" s="1431"/>
      <c r="G126" s="1404"/>
      <c r="H126" s="1476"/>
      <c r="I126" s="1476"/>
      <c r="J126" s="1418"/>
      <c r="K126" s="1473"/>
      <c r="L126" s="1776">
        <f t="shared" si="8"/>
        <v>0</v>
      </c>
    </row>
    <row r="127" spans="2:12" ht="13.8" thickBot="1" x14ac:dyDescent="0.3">
      <c r="B127" s="2488" t="s">
        <v>1268</v>
      </c>
      <c r="C127" s="2489"/>
      <c r="D127" s="2489"/>
      <c r="E127" s="319"/>
      <c r="F127" s="319"/>
      <c r="G127" s="309"/>
      <c r="H127" s="316" t="s">
        <v>954</v>
      </c>
      <c r="I127" s="314"/>
      <c r="J127" s="314"/>
      <c r="K127" s="1491">
        <f>SUM(L116:L126)</f>
        <v>0</v>
      </c>
      <c r="L127" s="1777"/>
    </row>
    <row r="128" spans="2:12" ht="13.8" thickBot="1" x14ac:dyDescent="0.3">
      <c r="B128" s="793" t="s">
        <v>1445</v>
      </c>
      <c r="C128" s="803"/>
      <c r="D128" s="803"/>
      <c r="E128" s="1510"/>
      <c r="F128" s="1510"/>
      <c r="G128" s="1510"/>
      <c r="H128" s="1510"/>
      <c r="I128" s="1510"/>
      <c r="J128" s="1510"/>
      <c r="K128" s="1511"/>
    </row>
    <row r="129" spans="2:12" x14ac:dyDescent="0.25">
      <c r="B129" s="2497"/>
      <c r="C129" s="2504"/>
      <c r="D129" s="2504"/>
      <c r="E129" s="1413"/>
      <c r="F129" s="1430"/>
      <c r="G129" s="1477"/>
      <c r="H129" s="1478"/>
      <c r="I129" s="1478"/>
      <c r="J129" s="1415"/>
      <c r="K129" s="1473"/>
      <c r="L129" s="1776">
        <f>IF(K129="",0,1)</f>
        <v>0</v>
      </c>
    </row>
    <row r="130" spans="2:12" x14ac:dyDescent="0.25">
      <c r="B130" s="2493"/>
      <c r="C130" s="2494"/>
      <c r="D130" s="2494"/>
      <c r="E130" s="1411"/>
      <c r="F130" s="1431"/>
      <c r="G130" s="1404"/>
      <c r="H130" s="1474"/>
      <c r="I130" s="1474"/>
      <c r="J130" s="1412"/>
      <c r="K130" s="1473"/>
      <c r="L130" s="1776">
        <f t="shared" ref="L130:L135" si="9">IF(K130="",0,1)</f>
        <v>0</v>
      </c>
    </row>
    <row r="131" spans="2:12" x14ac:dyDescent="0.25">
      <c r="B131" s="2493"/>
      <c r="C131" s="2494"/>
      <c r="D131" s="2494"/>
      <c r="E131" s="1411"/>
      <c r="F131" s="1431"/>
      <c r="G131" s="1404"/>
      <c r="H131" s="1474"/>
      <c r="I131" s="1474"/>
      <c r="J131" s="1412"/>
      <c r="K131" s="1473"/>
      <c r="L131" s="1776">
        <f t="shared" si="9"/>
        <v>0</v>
      </c>
    </row>
    <row r="132" spans="2:12" x14ac:dyDescent="0.25">
      <c r="B132" s="2493"/>
      <c r="C132" s="2494"/>
      <c r="D132" s="2494"/>
      <c r="E132" s="1411"/>
      <c r="F132" s="1431"/>
      <c r="G132" s="1404"/>
      <c r="H132" s="1474"/>
      <c r="I132" s="1474"/>
      <c r="J132" s="1412"/>
      <c r="K132" s="1473"/>
      <c r="L132" s="1776">
        <f t="shared" si="9"/>
        <v>0</v>
      </c>
    </row>
    <row r="133" spans="2:12" x14ac:dyDescent="0.25">
      <c r="B133" s="2493"/>
      <c r="C133" s="2494"/>
      <c r="D133" s="2494"/>
      <c r="E133" s="1411"/>
      <c r="F133" s="1431"/>
      <c r="G133" s="1404"/>
      <c r="H133" s="1474"/>
      <c r="I133" s="1474"/>
      <c r="J133" s="1412"/>
      <c r="K133" s="1473"/>
      <c r="L133" s="1776">
        <f t="shared" si="9"/>
        <v>0</v>
      </c>
    </row>
    <row r="134" spans="2:12" x14ac:dyDescent="0.25">
      <c r="B134" s="2493"/>
      <c r="C134" s="2494"/>
      <c r="D134" s="2494"/>
      <c r="E134" s="1411"/>
      <c r="F134" s="1431"/>
      <c r="G134" s="1404"/>
      <c r="H134" s="1474"/>
      <c r="I134" s="1474"/>
      <c r="J134" s="1412"/>
      <c r="K134" s="1473"/>
      <c r="L134" s="1776">
        <f t="shared" si="9"/>
        <v>0</v>
      </c>
    </row>
    <row r="135" spans="2:12" ht="13.8" thickBot="1" x14ac:dyDescent="0.3">
      <c r="B135" s="2493"/>
      <c r="C135" s="2494"/>
      <c r="D135" s="2494"/>
      <c r="E135" s="1411"/>
      <c r="F135" s="1431"/>
      <c r="G135" s="1404"/>
      <c r="H135" s="1476"/>
      <c r="I135" s="1476"/>
      <c r="J135" s="1418"/>
      <c r="K135" s="1473"/>
      <c r="L135" s="1776">
        <f t="shared" si="9"/>
        <v>0</v>
      </c>
    </row>
    <row r="136" spans="2:12" ht="13.8" thickBot="1" x14ac:dyDescent="0.3">
      <c r="B136" s="2488" t="s">
        <v>1268</v>
      </c>
      <c r="C136" s="2489"/>
      <c r="D136" s="2489"/>
      <c r="E136" s="319"/>
      <c r="F136" s="319"/>
      <c r="G136" s="309"/>
      <c r="H136" s="316" t="s">
        <v>953</v>
      </c>
      <c r="I136" s="314"/>
      <c r="J136" s="314"/>
      <c r="K136" s="1491">
        <f>SUM(L129:L135)</f>
        <v>0</v>
      </c>
    </row>
    <row r="137" spans="2:12" ht="13.8" thickBot="1" x14ac:dyDescent="0.3">
      <c r="B137" s="793" t="s">
        <v>1444</v>
      </c>
      <c r="C137" s="803"/>
      <c r="D137" s="803"/>
      <c r="E137" s="1510"/>
      <c r="F137" s="1510"/>
      <c r="G137" s="1510"/>
      <c r="H137" s="1510"/>
      <c r="I137" s="1510"/>
      <c r="J137" s="1510"/>
      <c r="K137" s="1511"/>
    </row>
    <row r="138" spans="2:12" x14ac:dyDescent="0.25">
      <c r="B138" s="2497"/>
      <c r="C138" s="2504"/>
      <c r="D138" s="2504"/>
      <c r="E138" s="1413"/>
      <c r="F138" s="1430"/>
      <c r="G138" s="1477"/>
      <c r="H138" s="1478"/>
      <c r="I138" s="1478"/>
      <c r="J138" s="1415"/>
      <c r="K138" s="1473"/>
      <c r="L138" s="1776">
        <f t="shared" ref="L138:L147" si="10">IF(K138="",0,1)</f>
        <v>0</v>
      </c>
    </row>
    <row r="139" spans="2:12" x14ac:dyDescent="0.25">
      <c r="B139" s="2493"/>
      <c r="C139" s="2494"/>
      <c r="D139" s="2494"/>
      <c r="E139" s="1411"/>
      <c r="F139" s="1431"/>
      <c r="G139" s="1404"/>
      <c r="H139" s="1474"/>
      <c r="I139" s="1474"/>
      <c r="J139" s="1412"/>
      <c r="K139" s="1473"/>
      <c r="L139" s="1776">
        <f t="shared" si="10"/>
        <v>0</v>
      </c>
    </row>
    <row r="140" spans="2:12" x14ac:dyDescent="0.25">
      <c r="B140" s="2493"/>
      <c r="C140" s="2494"/>
      <c r="D140" s="2494"/>
      <c r="E140" s="1411"/>
      <c r="F140" s="1431"/>
      <c r="G140" s="1404"/>
      <c r="H140" s="1474"/>
      <c r="I140" s="1474"/>
      <c r="J140" s="1412"/>
      <c r="K140" s="1473"/>
      <c r="L140" s="1776">
        <f t="shared" si="10"/>
        <v>0</v>
      </c>
    </row>
    <row r="141" spans="2:12" x14ac:dyDescent="0.25">
      <c r="B141" s="2428"/>
      <c r="C141" s="2429"/>
      <c r="D141" s="2430"/>
      <c r="E141" s="1411"/>
      <c r="F141" s="1431"/>
      <c r="G141" s="1404"/>
      <c r="H141" s="1474"/>
      <c r="I141" s="1474"/>
      <c r="J141" s="1412"/>
      <c r="K141" s="1475"/>
      <c r="L141" s="1776">
        <f t="shared" si="10"/>
        <v>0</v>
      </c>
    </row>
    <row r="142" spans="2:12" x14ac:dyDescent="0.25">
      <c r="B142" s="2428"/>
      <c r="C142" s="2429"/>
      <c r="D142" s="2430"/>
      <c r="E142" s="1411"/>
      <c r="F142" s="1431"/>
      <c r="G142" s="1404"/>
      <c r="H142" s="1474"/>
      <c r="I142" s="1474"/>
      <c r="J142" s="1412"/>
      <c r="K142" s="1475"/>
      <c r="L142" s="1776">
        <f t="shared" si="10"/>
        <v>0</v>
      </c>
    </row>
    <row r="143" spans="2:12" x14ac:dyDescent="0.25">
      <c r="B143" s="2428"/>
      <c r="C143" s="2429"/>
      <c r="D143" s="2430"/>
      <c r="E143" s="1411"/>
      <c r="F143" s="1431"/>
      <c r="G143" s="1404"/>
      <c r="H143" s="1474"/>
      <c r="I143" s="1474"/>
      <c r="J143" s="1412"/>
      <c r="K143" s="1475"/>
      <c r="L143" s="1776">
        <f t="shared" si="10"/>
        <v>0</v>
      </c>
    </row>
    <row r="144" spans="2:12" x14ac:dyDescent="0.25">
      <c r="B144" s="2493"/>
      <c r="C144" s="2494"/>
      <c r="D144" s="2494"/>
      <c r="E144" s="1411"/>
      <c r="F144" s="1431"/>
      <c r="G144" s="1404"/>
      <c r="H144" s="1474"/>
      <c r="I144" s="1474"/>
      <c r="J144" s="1412"/>
      <c r="K144" s="1475"/>
      <c r="L144" s="1776">
        <f t="shared" si="10"/>
        <v>0</v>
      </c>
    </row>
    <row r="145" spans="2:12" x14ac:dyDescent="0.25">
      <c r="B145" s="2493"/>
      <c r="C145" s="2494"/>
      <c r="D145" s="2494"/>
      <c r="E145" s="1411"/>
      <c r="F145" s="1431"/>
      <c r="G145" s="1404"/>
      <c r="H145" s="1474"/>
      <c r="I145" s="1474"/>
      <c r="J145" s="1412"/>
      <c r="K145" s="1475"/>
      <c r="L145" s="1776">
        <f t="shared" si="10"/>
        <v>0</v>
      </c>
    </row>
    <row r="146" spans="2:12" x14ac:dyDescent="0.25">
      <c r="B146" s="2493"/>
      <c r="C146" s="2494"/>
      <c r="D146" s="2494"/>
      <c r="E146" s="1411"/>
      <c r="F146" s="1431"/>
      <c r="G146" s="1404"/>
      <c r="H146" s="1474"/>
      <c r="I146" s="1474"/>
      <c r="J146" s="1412"/>
      <c r="K146" s="1475"/>
      <c r="L146" s="1776">
        <f t="shared" si="10"/>
        <v>0</v>
      </c>
    </row>
    <row r="147" spans="2:12" ht="13.8" thickBot="1" x14ac:dyDescent="0.3">
      <c r="B147" s="2493"/>
      <c r="C147" s="2494"/>
      <c r="D147" s="2494"/>
      <c r="E147" s="1411"/>
      <c r="F147" s="1431"/>
      <c r="G147" s="1444"/>
      <c r="H147" s="1457"/>
      <c r="I147" s="1457"/>
      <c r="J147" s="1417"/>
      <c r="K147" s="1475"/>
      <c r="L147" s="1776">
        <f t="shared" si="10"/>
        <v>0</v>
      </c>
    </row>
    <row r="148" spans="2:12" ht="13.8" thickBot="1" x14ac:dyDescent="0.3">
      <c r="B148" s="2488" t="s">
        <v>1268</v>
      </c>
      <c r="C148" s="2489"/>
      <c r="D148" s="2489"/>
      <c r="E148" s="320"/>
      <c r="F148" s="320"/>
      <c r="G148" s="309"/>
      <c r="H148" s="316" t="s">
        <v>1434</v>
      </c>
      <c r="I148" s="314"/>
      <c r="J148" s="314"/>
      <c r="K148" s="317">
        <f>SUM(L138:L147)</f>
        <v>0</v>
      </c>
    </row>
    <row r="149" spans="2:12" ht="13.8" thickBot="1" x14ac:dyDescent="0.3">
      <c r="B149" s="1781" t="s">
        <v>1443</v>
      </c>
      <c r="C149" s="1782"/>
      <c r="D149" s="1782"/>
      <c r="E149" s="1783"/>
      <c r="F149" s="1783"/>
      <c r="G149" s="1783"/>
      <c r="H149" s="803"/>
      <c r="I149" s="1510"/>
      <c r="J149" s="1510"/>
      <c r="K149" s="1780"/>
    </row>
    <row r="150" spans="2:12" x14ac:dyDescent="0.25">
      <c r="B150" s="2490"/>
      <c r="C150" s="2491"/>
      <c r="D150" s="2492"/>
      <c r="E150" s="1407"/>
      <c r="F150" s="1436"/>
      <c r="G150" s="1477"/>
      <c r="H150" s="1478"/>
      <c r="I150" s="1478"/>
      <c r="J150" s="1415"/>
      <c r="K150" s="1473"/>
      <c r="L150" s="1776">
        <f t="shared" ref="L150:L159" si="11">IF(K150="",0,1)</f>
        <v>0</v>
      </c>
    </row>
    <row r="151" spans="2:12" x14ac:dyDescent="0.25">
      <c r="B151" s="2428"/>
      <c r="C151" s="2429"/>
      <c r="D151" s="2430"/>
      <c r="E151" s="1408"/>
      <c r="F151" s="1435"/>
      <c r="G151" s="1404"/>
      <c r="H151" s="1474"/>
      <c r="I151" s="1474"/>
      <c r="J151" s="1412"/>
      <c r="K151" s="1473"/>
      <c r="L151" s="1776">
        <f t="shared" si="11"/>
        <v>0</v>
      </c>
    </row>
    <row r="152" spans="2:12" x14ac:dyDescent="0.25">
      <c r="B152" s="2428"/>
      <c r="C152" s="2429"/>
      <c r="D152" s="2430"/>
      <c r="E152" s="1408"/>
      <c r="F152" s="1435"/>
      <c r="G152" s="1404"/>
      <c r="H152" s="1474"/>
      <c r="I152" s="1474"/>
      <c r="J152" s="1412"/>
      <c r="K152" s="1473"/>
      <c r="L152" s="1776">
        <f t="shared" si="11"/>
        <v>0</v>
      </c>
    </row>
    <row r="153" spans="2:12" x14ac:dyDescent="0.25">
      <c r="B153" s="2428"/>
      <c r="C153" s="2429"/>
      <c r="D153" s="2430"/>
      <c r="E153" s="1408"/>
      <c r="F153" s="1435"/>
      <c r="G153" s="1404"/>
      <c r="H153" s="1474"/>
      <c r="I153" s="1474"/>
      <c r="J153" s="1412"/>
      <c r="K153" s="1473"/>
      <c r="L153" s="1776">
        <f t="shared" si="11"/>
        <v>0</v>
      </c>
    </row>
    <row r="154" spans="2:12" x14ac:dyDescent="0.25">
      <c r="B154" s="2428"/>
      <c r="C154" s="2429"/>
      <c r="D154" s="2430"/>
      <c r="E154" s="1408"/>
      <c r="F154" s="1435"/>
      <c r="G154" s="1404"/>
      <c r="H154" s="1474"/>
      <c r="I154" s="1474"/>
      <c r="J154" s="1412"/>
      <c r="K154" s="1475"/>
      <c r="L154" s="1776">
        <f t="shared" si="11"/>
        <v>0</v>
      </c>
    </row>
    <row r="155" spans="2:12" x14ac:dyDescent="0.25">
      <c r="B155" s="2428"/>
      <c r="C155" s="2429"/>
      <c r="D155" s="2430"/>
      <c r="E155" s="1408"/>
      <c r="F155" s="1435"/>
      <c r="G155" s="1404"/>
      <c r="H155" s="1474"/>
      <c r="I155" s="1474"/>
      <c r="J155" s="1412"/>
      <c r="K155" s="1475"/>
      <c r="L155" s="1776">
        <f t="shared" si="11"/>
        <v>0</v>
      </c>
    </row>
    <row r="156" spans="2:12" x14ac:dyDescent="0.25">
      <c r="B156" s="2428"/>
      <c r="C156" s="2429"/>
      <c r="D156" s="2430"/>
      <c r="E156" s="1408"/>
      <c r="F156" s="1435"/>
      <c r="G156" s="1404"/>
      <c r="H156" s="1474"/>
      <c r="I156" s="1474"/>
      <c r="J156" s="1412"/>
      <c r="K156" s="1475"/>
      <c r="L156" s="1776">
        <f t="shared" si="11"/>
        <v>0</v>
      </c>
    </row>
    <row r="157" spans="2:12" x14ac:dyDescent="0.25">
      <c r="B157" s="2428"/>
      <c r="C157" s="2429"/>
      <c r="D157" s="2430"/>
      <c r="E157" s="1408"/>
      <c r="F157" s="1435"/>
      <c r="G157" s="1404"/>
      <c r="H157" s="1474"/>
      <c r="I157" s="1474"/>
      <c r="J157" s="1412"/>
      <c r="K157" s="1475"/>
      <c r="L157" s="1776">
        <f t="shared" si="11"/>
        <v>0</v>
      </c>
    </row>
    <row r="158" spans="2:12" x14ac:dyDescent="0.25">
      <c r="B158" s="2428"/>
      <c r="C158" s="2429"/>
      <c r="D158" s="2430"/>
      <c r="E158" s="1408"/>
      <c r="F158" s="1435"/>
      <c r="G158" s="1404"/>
      <c r="H158" s="1474"/>
      <c r="I158" s="1474"/>
      <c r="J158" s="1412"/>
      <c r="K158" s="1475"/>
      <c r="L158" s="1776">
        <f t="shared" si="11"/>
        <v>0</v>
      </c>
    </row>
    <row r="159" spans="2:12" ht="13.8" thickBot="1" x14ac:dyDescent="0.3">
      <c r="B159" s="2428"/>
      <c r="C159" s="2429"/>
      <c r="D159" s="2430"/>
      <c r="E159" s="1408"/>
      <c r="F159" s="1435"/>
      <c r="G159" s="1404"/>
      <c r="H159" s="1474"/>
      <c r="I159" s="1474"/>
      <c r="J159" s="1412"/>
      <c r="K159" s="1475"/>
      <c r="L159" s="1776">
        <f t="shared" si="11"/>
        <v>0</v>
      </c>
    </row>
    <row r="160" spans="2:12" ht="13.8" thickBot="1" x14ac:dyDescent="0.3">
      <c r="B160" s="1717"/>
      <c r="C160" s="1718"/>
      <c r="D160" s="1718"/>
      <c r="E160" s="141"/>
      <c r="F160" s="141"/>
      <c r="G160" s="141"/>
      <c r="H160" s="316" t="s">
        <v>1436</v>
      </c>
      <c r="I160" s="314"/>
      <c r="J160" s="314"/>
      <c r="K160" s="317">
        <f>SUM(L150:L159)</f>
        <v>0</v>
      </c>
    </row>
    <row r="161" hidden="1" x14ac:dyDescent="0.25"/>
    <row r="162" hidden="1" x14ac:dyDescent="0.25"/>
    <row r="163" hidden="1" x14ac:dyDescent="0.25"/>
  </sheetData>
  <sheetProtection algorithmName="SHA-512" hashValue="0dydpZjEXrKd2FGepWsMko96qXjBMK2X6ly7XhFz96aFVNvkQ++OAZhUrBaECLQIRqanOCuYz0xti6vCYrOvBg==" saltValue="fZ+Hs3uWR6KCzN/XwwarBA==" spinCount="100000" sheet="1" objects="1" scenarios="1" selectLockedCells="1"/>
  <protectedRanges>
    <protectedRange sqref="B10:K20 B23:K29 B32:K41 B63:K73 B76:K82 B85:K94 B116:K126 B129:K135 B138:K147 B44:K53 B97:K106 B150:K159" name="Range2"/>
  </protectedRanges>
  <mergeCells count="124">
    <mergeCell ref="B159:D159"/>
    <mergeCell ref="B150:D150"/>
    <mergeCell ref="B151:D151"/>
    <mergeCell ref="B152:D152"/>
    <mergeCell ref="B153:D153"/>
    <mergeCell ref="B154:D154"/>
    <mergeCell ref="B155:D155"/>
    <mergeCell ref="B156:D156"/>
    <mergeCell ref="B157:D157"/>
    <mergeCell ref="B158:D158"/>
    <mergeCell ref="B53:D53"/>
    <mergeCell ref="B44:D44"/>
    <mergeCell ref="B45:D45"/>
    <mergeCell ref="B46:D46"/>
    <mergeCell ref="B47:D47"/>
    <mergeCell ref="B48:D48"/>
    <mergeCell ref="B49:D49"/>
    <mergeCell ref="B50:D50"/>
    <mergeCell ref="B51:D51"/>
    <mergeCell ref="B52:D52"/>
    <mergeCell ref="B37:D37"/>
    <mergeCell ref="B38:D38"/>
    <mergeCell ref="B39:D39"/>
    <mergeCell ref="B40:D40"/>
    <mergeCell ref="B41:D41"/>
    <mergeCell ref="B36:D36"/>
    <mergeCell ref="B33:D33"/>
    <mergeCell ref="B34:D34"/>
    <mergeCell ref="B35:D35"/>
    <mergeCell ref="B29:D29"/>
    <mergeCell ref="B32:D32"/>
    <mergeCell ref="B24:D24"/>
    <mergeCell ref="B25:D25"/>
    <mergeCell ref="B26:D26"/>
    <mergeCell ref="B27:D27"/>
    <mergeCell ref="B28:D28"/>
    <mergeCell ref="B20:D20"/>
    <mergeCell ref="B23:D23"/>
    <mergeCell ref="B10:D10"/>
    <mergeCell ref="B16:D16"/>
    <mergeCell ref="B17:D17"/>
    <mergeCell ref="B18:D18"/>
    <mergeCell ref="B19:D19"/>
    <mergeCell ref="B15:D15"/>
    <mergeCell ref="B14:D14"/>
    <mergeCell ref="B13:D13"/>
    <mergeCell ref="B12:D12"/>
    <mergeCell ref="B11:D11"/>
    <mergeCell ref="B138:D138"/>
    <mergeCell ref="B139:D139"/>
    <mergeCell ref="B140:D140"/>
    <mergeCell ref="B131:D131"/>
    <mergeCell ref="B132:D132"/>
    <mergeCell ref="B133:D133"/>
    <mergeCell ref="B134:D134"/>
    <mergeCell ref="B148:D148"/>
    <mergeCell ref="B144:D144"/>
    <mergeCell ref="B145:D145"/>
    <mergeCell ref="B146:D146"/>
    <mergeCell ref="B147:D147"/>
    <mergeCell ref="B143:D143"/>
    <mergeCell ref="B142:D142"/>
    <mergeCell ref="B141:D141"/>
    <mergeCell ref="B122:D122"/>
    <mergeCell ref="B123:D123"/>
    <mergeCell ref="B124:D124"/>
    <mergeCell ref="B125:D125"/>
    <mergeCell ref="B126:D126"/>
    <mergeCell ref="B135:D135"/>
    <mergeCell ref="B136:D136"/>
    <mergeCell ref="B98:D98"/>
    <mergeCell ref="B99:D99"/>
    <mergeCell ref="B100:D100"/>
    <mergeCell ref="B101:D101"/>
    <mergeCell ref="B102:D102"/>
    <mergeCell ref="B103:D103"/>
    <mergeCell ref="B104:D104"/>
    <mergeCell ref="B105:D105"/>
    <mergeCell ref="B106:D106"/>
    <mergeCell ref="B108:K108"/>
    <mergeCell ref="B127:D127"/>
    <mergeCell ref="B129:D129"/>
    <mergeCell ref="B130:D130"/>
    <mergeCell ref="B55:K55"/>
    <mergeCell ref="B82:D82"/>
    <mergeCell ref="B67:D67"/>
    <mergeCell ref="B68:D68"/>
    <mergeCell ref="B74:D74"/>
    <mergeCell ref="B76:D76"/>
    <mergeCell ref="B78:D78"/>
    <mergeCell ref="B79:D79"/>
    <mergeCell ref="B80:D80"/>
    <mergeCell ref="B81:D81"/>
    <mergeCell ref="B77:D77"/>
    <mergeCell ref="B63:D63"/>
    <mergeCell ref="B64:D64"/>
    <mergeCell ref="B61:D61"/>
    <mergeCell ref="B69:D69"/>
    <mergeCell ref="B70:D70"/>
    <mergeCell ref="B71:D71"/>
    <mergeCell ref="B72:D72"/>
    <mergeCell ref="B73:D73"/>
    <mergeCell ref="B65:D65"/>
    <mergeCell ref="B66:D66"/>
    <mergeCell ref="B83:D83"/>
    <mergeCell ref="B93:D93"/>
    <mergeCell ref="B94:D94"/>
    <mergeCell ref="B90:D90"/>
    <mergeCell ref="B89:D89"/>
    <mergeCell ref="B88:D88"/>
    <mergeCell ref="B91:D91"/>
    <mergeCell ref="B92:D92"/>
    <mergeCell ref="B85:D85"/>
    <mergeCell ref="B86:D86"/>
    <mergeCell ref="B87:D87"/>
    <mergeCell ref="B95:D95"/>
    <mergeCell ref="B97:D97"/>
    <mergeCell ref="B119:D119"/>
    <mergeCell ref="B120:D120"/>
    <mergeCell ref="B121:D121"/>
    <mergeCell ref="B114:C114"/>
    <mergeCell ref="B116:D116"/>
    <mergeCell ref="B117:D117"/>
    <mergeCell ref="B118:D118"/>
  </mergeCells>
  <dataValidations count="4">
    <dataValidation type="decimal" operator="lessThanOrEqual" allowBlank="1" showInputMessage="1" showErrorMessage="1" sqref="K116:K126 K63:K73 K10:K20" xr:uid="{00000000-0002-0000-2700-000000000000}">
      <formula1>19</formula1>
    </dataValidation>
    <dataValidation type="decimal" operator="lessThanOrEqual" allowBlank="1" showInputMessage="1" showErrorMessage="1" sqref="K129:K135 K76:K82 K23:K29" xr:uid="{00000000-0002-0000-2700-000001000000}">
      <formula1>47</formula1>
    </dataValidation>
    <dataValidation type="whole" operator="lessThanOrEqual" allowBlank="1" showInputMessage="1" showErrorMessage="1" sqref="K32:K41 K85:K94 K138:K147" xr:uid="{00000000-0002-0000-2700-000002000000}">
      <formula1>68</formula1>
    </dataValidation>
    <dataValidation type="whole" operator="lessThanOrEqual" allowBlank="1" showInputMessage="1" showErrorMessage="1" sqref="K44:K53 K97:K106 K150:K159" xr:uid="{875DFC92-BE84-4868-B9DA-74479A041242}">
      <formula1>150</formula1>
    </dataValidation>
  </dataValidations>
  <printOptions horizontalCentered="1"/>
  <pageMargins left="0.25" right="0.25" top="0.65" bottom="0.5" header="0.3" footer="0.3"/>
  <pageSetup scale="90" fitToHeight="3" orientation="portrait" r:id="rId1"/>
  <headerFooter>
    <oddHeader xml:space="preserve">&amp;RCP
</oddHeader>
    <oddFooter>&amp;LADEM Form 31 DRAFT &amp;C2/2025&amp;R*M9 DRAFT</oddFooter>
  </headerFooter>
  <rowBreaks count="2" manualBreakCount="2">
    <brk id="54" max="16383" man="1"/>
    <brk id="107"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7890" r:id="rId4" name="Button 2">
              <controlPr defaultSize="0" print="0" autoFill="0" autoPict="0" macro="[0]!deletecpeinputs">
                <anchor>
                  <from>
                    <xdr:col>0</xdr:col>
                    <xdr:colOff>152400</xdr:colOff>
                    <xdr:row>16</xdr:row>
                    <xdr:rowOff>137160</xdr:rowOff>
                  </from>
                  <to>
                    <xdr:col>0</xdr:col>
                    <xdr:colOff>792480</xdr:colOff>
                    <xdr:row>19</xdr:row>
                    <xdr:rowOff>160020</xdr:rowOff>
                  </to>
                </anchor>
              </controlPr>
            </control>
          </mc:Choice>
        </mc:AlternateContent>
        <mc:AlternateContent xmlns:mc="http://schemas.openxmlformats.org/markup-compatibility/2006">
          <mc:Choice Requires="x14">
            <control shapeId="37893" r:id="rId5" name="Button 5">
              <controlPr defaultSize="0" print="0" autoFill="0" autoPict="0" macro="[0]!eight">
                <anchor>
                  <from>
                    <xdr:col>0</xdr:col>
                    <xdr:colOff>137160</xdr:colOff>
                    <xdr:row>20</xdr:row>
                    <xdr:rowOff>152400</xdr:rowOff>
                  </from>
                  <to>
                    <xdr:col>0</xdr:col>
                    <xdr:colOff>784860</xdr:colOff>
                    <xdr:row>24</xdr:row>
                    <xdr:rowOff>38100</xdr:rowOff>
                  </to>
                </anchor>
              </controlPr>
            </control>
          </mc:Choice>
        </mc:AlternateContent>
        <mc:AlternateContent xmlns:mc="http://schemas.openxmlformats.org/markup-compatibility/2006">
          <mc:Choice Requires="x14">
            <control shapeId="37894" r:id="rId6" name="Button 6">
              <controlPr defaultSize="0" print="0" autoFill="0" autoPict="0" macro="[0]!eleven">
                <anchor moveWithCells="1">
                  <from>
                    <xdr:col>0</xdr:col>
                    <xdr:colOff>137160</xdr:colOff>
                    <xdr:row>25</xdr:row>
                    <xdr:rowOff>76200</xdr:rowOff>
                  </from>
                  <to>
                    <xdr:col>0</xdr:col>
                    <xdr:colOff>746760</xdr:colOff>
                    <xdr:row>28</xdr:row>
                    <xdr:rowOff>114300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tabColor theme="0" tint="-4.9989318521683403E-2"/>
  </sheetPr>
  <dimension ref="A1:M116"/>
  <sheetViews>
    <sheetView showGridLines="0" showRowColHeaders="0" zoomScale="110" zoomScaleNormal="110" zoomScaleSheetLayoutView="75" workbookViewId="0">
      <selection activeCell="B8" sqref="B8:J10"/>
    </sheetView>
  </sheetViews>
  <sheetFormatPr defaultColWidth="9.109375" defaultRowHeight="13.2" x14ac:dyDescent="0.25"/>
  <cols>
    <col min="1" max="1" width="13.6640625" style="103" customWidth="1"/>
    <col min="2" max="2" width="9.109375" style="104"/>
    <col min="3" max="3" width="7.33203125" style="104" customWidth="1"/>
    <col min="4" max="6" width="9.109375" style="104"/>
    <col min="7" max="7" width="9.109375" style="104" customWidth="1"/>
    <col min="8" max="8" width="13.109375" style="104" customWidth="1"/>
    <col min="9" max="9" width="7.44140625" style="104" customWidth="1"/>
    <col min="10" max="10" width="7" style="129" customWidth="1"/>
    <col min="11" max="11" width="11.33203125" style="129" customWidth="1"/>
    <col min="12" max="16384" width="9.109375" style="104"/>
  </cols>
  <sheetData>
    <row r="1" spans="2:11" ht="19.2" customHeight="1" thickBot="1" x14ac:dyDescent="0.3">
      <c r="K1" s="1506">
        <f>IF((L25+L45+L68+L116)=0,0,1)</f>
        <v>0</v>
      </c>
    </row>
    <row r="2" spans="2:11" ht="18" hidden="1" customHeight="1" thickBot="1" x14ac:dyDescent="0.3">
      <c r="B2" s="1502" t="s">
        <v>1287</v>
      </c>
      <c r="C2" s="773"/>
      <c r="D2" s="773"/>
      <c r="E2" s="773"/>
      <c r="F2" s="773"/>
      <c r="G2" s="773"/>
      <c r="H2" s="773"/>
      <c r="I2" s="773"/>
      <c r="J2" s="773"/>
      <c r="K2" s="774"/>
    </row>
    <row r="3" spans="2:11" ht="18" customHeight="1" thickBot="1" x14ac:dyDescent="0.3">
      <c r="B3" s="772" t="s">
        <v>913</v>
      </c>
      <c r="C3" s="773"/>
      <c r="D3" s="773"/>
      <c r="E3" s="773"/>
      <c r="F3" s="773"/>
      <c r="G3" s="773"/>
      <c r="H3" s="773"/>
      <c r="I3" s="773"/>
      <c r="J3" s="773"/>
      <c r="K3" s="774"/>
    </row>
    <row r="4" spans="2:11" ht="27.6" customHeight="1" thickBot="1" x14ac:dyDescent="0.3">
      <c r="B4" s="1696" t="s">
        <v>1288</v>
      </c>
      <c r="C4" s="1697"/>
      <c r="D4" s="1697"/>
      <c r="E4" s="1697"/>
      <c r="F4" s="1697"/>
      <c r="G4" s="1697"/>
      <c r="H4" s="1697"/>
      <c r="I4" s="1697"/>
      <c r="J4" s="1697"/>
      <c r="K4" s="1698"/>
    </row>
    <row r="5" spans="2:11" ht="17.399999999999999" x14ac:dyDescent="0.3">
      <c r="B5" s="755" t="s">
        <v>635</v>
      </c>
      <c r="C5" s="756"/>
      <c r="D5" s="756"/>
      <c r="E5" s="756"/>
      <c r="F5" s="756"/>
      <c r="G5" s="756"/>
      <c r="H5" s="756"/>
      <c r="I5" s="756"/>
      <c r="J5" s="756"/>
      <c r="K5" s="757"/>
    </row>
    <row r="6" spans="2:11" ht="13.8" thickBot="1" x14ac:dyDescent="0.3">
      <c r="B6" s="106"/>
      <c r="C6" s="107"/>
      <c r="D6" s="2524" t="s">
        <v>638</v>
      </c>
      <c r="E6" s="2524"/>
      <c r="F6" s="2524"/>
      <c r="G6" s="2524"/>
      <c r="H6" s="2524"/>
      <c r="I6" s="107"/>
      <c r="J6" s="1558">
        <f>IF(SUM(L45+L25)=0,0,1)</f>
        <v>0</v>
      </c>
      <c r="K6" s="142"/>
    </row>
    <row r="7" spans="2:11" ht="13.8" thickBot="1" x14ac:dyDescent="0.3">
      <c r="B7" s="2518" t="s">
        <v>453</v>
      </c>
      <c r="C7" s="2519"/>
      <c r="D7" s="2509"/>
      <c r="E7" s="2510"/>
      <c r="F7" s="2510"/>
      <c r="G7" s="2510"/>
      <c r="H7" s="2511"/>
      <c r="I7" s="125">
        <f>'Maximum Rates'!$D$5</f>
        <v>122</v>
      </c>
      <c r="J7" s="761"/>
      <c r="K7" s="177" t="str">
        <f>IF(J7&lt;0.01,"",(J7*I7))</f>
        <v/>
      </c>
    </row>
    <row r="8" spans="2:11" x14ac:dyDescent="0.25">
      <c r="B8" s="2520"/>
      <c r="C8" s="2521"/>
      <c r="D8" s="2512"/>
      <c r="E8" s="2513"/>
      <c r="F8" s="2513"/>
      <c r="G8" s="2513"/>
      <c r="H8" s="2514"/>
      <c r="I8" s="125"/>
      <c r="J8" s="130"/>
      <c r="K8" s="177"/>
    </row>
    <row r="9" spans="2:11" x14ac:dyDescent="0.25">
      <c r="B9" s="2520"/>
      <c r="C9" s="2521"/>
      <c r="D9" s="2512"/>
      <c r="E9" s="2513"/>
      <c r="F9" s="2513"/>
      <c r="G9" s="2513"/>
      <c r="H9" s="2514"/>
      <c r="I9" s="125"/>
      <c r="J9" s="130"/>
      <c r="K9" s="177"/>
    </row>
    <row r="10" spans="2:11" ht="13.8" thickBot="1" x14ac:dyDescent="0.3">
      <c r="B10" s="946"/>
      <c r="C10" s="947"/>
      <c r="D10" s="2515"/>
      <c r="E10" s="2516"/>
      <c r="F10" s="2516"/>
      <c r="G10" s="2516"/>
      <c r="H10" s="2517"/>
      <c r="I10" s="125"/>
      <c r="J10" s="130"/>
      <c r="K10" s="177"/>
    </row>
    <row r="11" spans="2:11" ht="13.8" thickBot="1" x14ac:dyDescent="0.3">
      <c r="B11" s="2518" t="s">
        <v>454</v>
      </c>
      <c r="C11" s="2519"/>
      <c r="D11" s="2509"/>
      <c r="E11" s="2510"/>
      <c r="F11" s="2510"/>
      <c r="G11" s="2510"/>
      <c r="H11" s="2511"/>
      <c r="I11" s="125">
        <f>'Maximum Rates'!$D$6</f>
        <v>140</v>
      </c>
      <c r="J11" s="761"/>
      <c r="K11" s="177" t="str">
        <f>IF(J11&lt;0.01,"",(J11*I11))</f>
        <v/>
      </c>
    </row>
    <row r="12" spans="2:11" x14ac:dyDescent="0.25">
      <c r="B12" s="2520"/>
      <c r="C12" s="2521"/>
      <c r="D12" s="2512"/>
      <c r="E12" s="2513"/>
      <c r="F12" s="2513"/>
      <c r="G12" s="2513"/>
      <c r="H12" s="2514"/>
      <c r="I12" s="125"/>
      <c r="J12" s="130"/>
      <c r="K12" s="177"/>
    </row>
    <row r="13" spans="2:11" ht="13.8" thickBot="1" x14ac:dyDescent="0.3">
      <c r="B13" s="2520"/>
      <c r="C13" s="2521"/>
      <c r="D13" s="2515"/>
      <c r="E13" s="2516"/>
      <c r="F13" s="2516"/>
      <c r="G13" s="2516"/>
      <c r="H13" s="2517"/>
      <c r="I13" s="125"/>
      <c r="J13" s="130"/>
      <c r="K13" s="177"/>
    </row>
    <row r="14" spans="2:11" ht="13.8" thickBot="1" x14ac:dyDescent="0.3">
      <c r="B14" s="2518" t="s">
        <v>27</v>
      </c>
      <c r="C14" s="2519"/>
      <c r="D14" s="2509"/>
      <c r="E14" s="2510"/>
      <c r="F14" s="2510"/>
      <c r="G14" s="2510"/>
      <c r="H14" s="2511"/>
      <c r="I14" s="125">
        <f>'Maximum Rates'!$D$7</f>
        <v>102</v>
      </c>
      <c r="J14" s="762"/>
      <c r="K14" s="177" t="str">
        <f>IF(J14&lt;0.01,"",(J14*I14))</f>
        <v/>
      </c>
    </row>
    <row r="15" spans="2:11" x14ac:dyDescent="0.25">
      <c r="B15" s="2518" t="s">
        <v>796</v>
      </c>
      <c r="C15" s="2519"/>
      <c r="D15" s="2512"/>
      <c r="E15" s="2513"/>
      <c r="F15" s="2513"/>
      <c r="G15" s="2513"/>
      <c r="H15" s="2514"/>
      <c r="I15" s="125"/>
      <c r="J15" s="130"/>
      <c r="K15" s="177"/>
    </row>
    <row r="16" spans="2:11" ht="13.8" thickBot="1" x14ac:dyDescent="0.3">
      <c r="B16" s="2520"/>
      <c r="C16" s="2521"/>
      <c r="D16" s="2515"/>
      <c r="E16" s="2516"/>
      <c r="F16" s="2516"/>
      <c r="G16" s="2516"/>
      <c r="H16" s="2517"/>
      <c r="I16" s="125"/>
      <c r="J16" s="130"/>
      <c r="K16" s="177"/>
    </row>
    <row r="17" spans="2:13" ht="13.8" thickBot="1" x14ac:dyDescent="0.3">
      <c r="B17" s="945" t="s">
        <v>795</v>
      </c>
      <c r="C17" s="947"/>
      <c r="D17" s="2509"/>
      <c r="E17" s="2510"/>
      <c r="F17" s="2510"/>
      <c r="G17" s="2510"/>
      <c r="H17" s="2511"/>
      <c r="I17" s="125">
        <f>'Maximum Rates'!$D$8</f>
        <v>95</v>
      </c>
      <c r="J17" s="762"/>
      <c r="K17" s="177" t="str">
        <f>IF(J17&lt;0.01,"",(J17*I17))</f>
        <v/>
      </c>
    </row>
    <row r="18" spans="2:13" x14ac:dyDescent="0.25">
      <c r="B18" s="946"/>
      <c r="C18" s="947"/>
      <c r="D18" s="2512"/>
      <c r="E18" s="2513"/>
      <c r="F18" s="2513"/>
      <c r="G18" s="2513"/>
      <c r="H18" s="2514"/>
      <c r="I18" s="125"/>
      <c r="J18" s="130"/>
      <c r="K18" s="177"/>
    </row>
    <row r="19" spans="2:13" ht="13.8" thickBot="1" x14ac:dyDescent="0.3">
      <c r="B19" s="946"/>
      <c r="C19" s="947"/>
      <c r="D19" s="2515"/>
      <c r="E19" s="2516"/>
      <c r="F19" s="2516"/>
      <c r="G19" s="2516"/>
      <c r="H19" s="2517"/>
      <c r="I19" s="125"/>
      <c r="J19" s="130"/>
      <c r="K19" s="177"/>
    </row>
    <row r="20" spans="2:13" ht="13.8" thickBot="1" x14ac:dyDescent="0.3">
      <c r="B20" s="2518" t="s">
        <v>456</v>
      </c>
      <c r="C20" s="2519"/>
      <c r="D20" s="2509"/>
      <c r="E20" s="2510"/>
      <c r="F20" s="2510"/>
      <c r="G20" s="2510"/>
      <c r="H20" s="2511"/>
      <c r="I20" s="125">
        <f>'Maximum Rates'!$D$10</f>
        <v>74</v>
      </c>
      <c r="J20" s="762"/>
      <c r="K20" s="177" t="str">
        <f>IF(J20&lt;0.01,"",(J20*I20))</f>
        <v/>
      </c>
    </row>
    <row r="21" spans="2:13" x14ac:dyDescent="0.25">
      <c r="B21" s="2520"/>
      <c r="C21" s="2521"/>
      <c r="D21" s="2512"/>
      <c r="E21" s="2513"/>
      <c r="F21" s="2513"/>
      <c r="G21" s="2513"/>
      <c r="H21" s="2514"/>
      <c r="I21" s="125"/>
      <c r="J21" s="130"/>
      <c r="K21" s="177"/>
    </row>
    <row r="22" spans="2:13" ht="13.8" thickBot="1" x14ac:dyDescent="0.3">
      <c r="B22" s="2520"/>
      <c r="C22" s="2521"/>
      <c r="D22" s="2515"/>
      <c r="E22" s="2516"/>
      <c r="F22" s="2516"/>
      <c r="G22" s="2516"/>
      <c r="H22" s="2517"/>
      <c r="I22" s="125"/>
      <c r="J22" s="130"/>
      <c r="K22" s="177"/>
    </row>
    <row r="23" spans="2:13" ht="13.8" thickBot="1" x14ac:dyDescent="0.3">
      <c r="B23" s="2518" t="s">
        <v>457</v>
      </c>
      <c r="C23" s="2519"/>
      <c r="D23" s="2509"/>
      <c r="E23" s="2510"/>
      <c r="F23" s="2510"/>
      <c r="G23" s="2510"/>
      <c r="H23" s="2511"/>
      <c r="I23" s="125">
        <f>'Maximum Rates'!$D$11</f>
        <v>60</v>
      </c>
      <c r="J23" s="762"/>
      <c r="K23" s="177" t="str">
        <f>IF(J23&lt;0.01,"",(J23*I23))</f>
        <v/>
      </c>
    </row>
    <row r="24" spans="2:13" ht="13.8" thickBot="1" x14ac:dyDescent="0.3">
      <c r="B24" s="2520"/>
      <c r="C24" s="2521"/>
      <c r="D24" s="2515"/>
      <c r="E24" s="2516"/>
      <c r="F24" s="2516"/>
      <c r="G24" s="2516"/>
      <c r="H24" s="2514"/>
      <c r="I24" s="107"/>
      <c r="J24" s="130"/>
      <c r="K24" s="1494"/>
    </row>
    <row r="25" spans="2:13" ht="13.8" thickBot="1" x14ac:dyDescent="0.3">
      <c r="B25" s="1504" t="s">
        <v>1268</v>
      </c>
      <c r="C25" s="112"/>
      <c r="D25" s="112"/>
      <c r="E25" s="112"/>
      <c r="F25" s="112"/>
      <c r="G25" s="112"/>
      <c r="H25" s="2525" t="s">
        <v>801</v>
      </c>
      <c r="I25" s="2526"/>
      <c r="J25" s="2526"/>
      <c r="K25" s="670" t="str">
        <f>IF(SUM(K7:K24)=0,"",SUM(K7:K24))</f>
        <v/>
      </c>
      <c r="L25" s="1493">
        <f>IF(K25="",0,1)</f>
        <v>0</v>
      </c>
    </row>
    <row r="26" spans="2:13" ht="13.8" thickBot="1" x14ac:dyDescent="0.3">
      <c r="B26" s="771"/>
      <c r="C26" s="314"/>
      <c r="D26" s="314"/>
      <c r="E26" s="314"/>
      <c r="F26" s="314"/>
      <c r="G26" s="314"/>
      <c r="H26" s="314"/>
      <c r="I26" s="314"/>
      <c r="J26" s="314"/>
      <c r="K26" s="315"/>
      <c r="M26" s="1493"/>
    </row>
    <row r="27" spans="2:13" ht="17.399999999999999" x14ac:dyDescent="0.3">
      <c r="B27" s="755" t="s">
        <v>671</v>
      </c>
      <c r="C27" s="756"/>
      <c r="D27" s="756"/>
      <c r="E27" s="756"/>
      <c r="F27" s="756"/>
      <c r="G27" s="756"/>
      <c r="H27" s="756"/>
      <c r="I27" s="756"/>
      <c r="J27" s="756"/>
      <c r="K27" s="757"/>
    </row>
    <row r="28" spans="2:13" ht="13.8" thickBot="1" x14ac:dyDescent="0.3">
      <c r="B28" s="106"/>
      <c r="C28" s="107"/>
      <c r="D28" s="2524" t="s">
        <v>638</v>
      </c>
      <c r="E28" s="2524"/>
      <c r="F28" s="2524"/>
      <c r="G28" s="2524"/>
      <c r="H28" s="2524"/>
      <c r="I28" s="107"/>
      <c r="J28" s="130"/>
      <c r="K28" s="142"/>
    </row>
    <row r="29" spans="2:13" ht="13.8" thickBot="1" x14ac:dyDescent="0.3">
      <c r="B29" s="2518" t="s">
        <v>453</v>
      </c>
      <c r="C29" s="2519"/>
      <c r="D29" s="2509"/>
      <c r="E29" s="2510"/>
      <c r="F29" s="2510"/>
      <c r="G29" s="2510"/>
      <c r="H29" s="2511"/>
      <c r="I29" s="125">
        <f>'Maximum Rates'!$D$5</f>
        <v>122</v>
      </c>
      <c r="J29" s="762"/>
      <c r="K29" s="177" t="str">
        <f>IF(J29&lt;0.01,"",(J29*I29))</f>
        <v/>
      </c>
    </row>
    <row r="30" spans="2:13" x14ac:dyDescent="0.25">
      <c r="B30" s="2520"/>
      <c r="C30" s="2521"/>
      <c r="D30" s="2512"/>
      <c r="E30" s="2513"/>
      <c r="F30" s="2513"/>
      <c r="G30" s="2513"/>
      <c r="H30" s="2514"/>
      <c r="I30" s="125"/>
      <c r="J30" s="130"/>
      <c r="K30" s="177"/>
    </row>
    <row r="31" spans="2:13" x14ac:dyDescent="0.25">
      <c r="B31" s="2520"/>
      <c r="C31" s="2521"/>
      <c r="D31" s="2512"/>
      <c r="E31" s="2513"/>
      <c r="F31" s="2513"/>
      <c r="G31" s="2513"/>
      <c r="H31" s="2514"/>
      <c r="I31" s="125"/>
      <c r="J31" s="130"/>
      <c r="K31" s="177"/>
    </row>
    <row r="32" spans="2:13" ht="13.8" thickBot="1" x14ac:dyDescent="0.3">
      <c r="B32" s="946"/>
      <c r="C32" s="947"/>
      <c r="D32" s="2515"/>
      <c r="E32" s="2516"/>
      <c r="F32" s="2516"/>
      <c r="G32" s="2516"/>
      <c r="H32" s="2517"/>
      <c r="I32" s="125"/>
      <c r="J32" s="130"/>
      <c r="K32" s="177"/>
    </row>
    <row r="33" spans="2:12" ht="13.8" thickBot="1" x14ac:dyDescent="0.3">
      <c r="B33" s="2518" t="s">
        <v>454</v>
      </c>
      <c r="C33" s="2519"/>
      <c r="D33" s="2509"/>
      <c r="E33" s="2510"/>
      <c r="F33" s="2510"/>
      <c r="G33" s="2510"/>
      <c r="H33" s="2511"/>
      <c r="I33" s="125">
        <f>'Maximum Rates'!$D$6</f>
        <v>140</v>
      </c>
      <c r="J33" s="762"/>
      <c r="K33" s="177" t="str">
        <f>IF(J33&lt;0.01,"",(J33*I33))</f>
        <v/>
      </c>
    </row>
    <row r="34" spans="2:12" x14ac:dyDescent="0.25">
      <c r="B34" s="2520"/>
      <c r="C34" s="2521"/>
      <c r="D34" s="2512"/>
      <c r="E34" s="2513"/>
      <c r="F34" s="2513"/>
      <c r="G34" s="2513"/>
      <c r="H34" s="2514"/>
      <c r="I34" s="125"/>
      <c r="J34" s="130"/>
      <c r="K34" s="177"/>
    </row>
    <row r="35" spans="2:12" ht="13.8" thickBot="1" x14ac:dyDescent="0.3">
      <c r="B35" s="2520"/>
      <c r="C35" s="2521"/>
      <c r="D35" s="2515"/>
      <c r="E35" s="2516"/>
      <c r="F35" s="2516"/>
      <c r="G35" s="2516"/>
      <c r="H35" s="2517"/>
      <c r="I35" s="125"/>
      <c r="J35" s="130"/>
      <c r="K35" s="177"/>
    </row>
    <row r="36" spans="2:12" ht="13.8" thickBot="1" x14ac:dyDescent="0.3">
      <c r="B36" s="2518" t="s">
        <v>27</v>
      </c>
      <c r="C36" s="2519"/>
      <c r="D36" s="2509"/>
      <c r="E36" s="2510"/>
      <c r="F36" s="2510"/>
      <c r="G36" s="2510"/>
      <c r="H36" s="2511"/>
      <c r="I36" s="125">
        <f>'Maximum Rates'!$D$7</f>
        <v>102</v>
      </c>
      <c r="J36" s="762"/>
      <c r="K36" s="177" t="str">
        <f>IF(J36&lt;0.01,"",(J36*I36))</f>
        <v/>
      </c>
    </row>
    <row r="37" spans="2:12" x14ac:dyDescent="0.25">
      <c r="B37" s="2518" t="s">
        <v>796</v>
      </c>
      <c r="C37" s="2519"/>
      <c r="D37" s="2512"/>
      <c r="E37" s="2513"/>
      <c r="F37" s="2513"/>
      <c r="G37" s="2513"/>
      <c r="H37" s="2514"/>
      <c r="I37" s="125"/>
      <c r="J37" s="130"/>
      <c r="K37" s="177"/>
    </row>
    <row r="38" spans="2:12" ht="13.8" thickBot="1" x14ac:dyDescent="0.3">
      <c r="B38" s="2520"/>
      <c r="C38" s="2521"/>
      <c r="D38" s="2515"/>
      <c r="E38" s="2516"/>
      <c r="F38" s="2516"/>
      <c r="G38" s="2516"/>
      <c r="H38" s="2517"/>
      <c r="I38" s="125"/>
      <c r="J38" s="130"/>
      <c r="K38" s="177"/>
    </row>
    <row r="39" spans="2:12" ht="13.8" thickBot="1" x14ac:dyDescent="0.3">
      <c r="B39" s="945" t="s">
        <v>795</v>
      </c>
      <c r="C39" s="947"/>
      <c r="D39" s="2509"/>
      <c r="E39" s="2510"/>
      <c r="F39" s="2510"/>
      <c r="G39" s="2510"/>
      <c r="H39" s="2511"/>
      <c r="I39" s="125">
        <f>'Maximum Rates'!$D$8</f>
        <v>95</v>
      </c>
      <c r="J39" s="762"/>
      <c r="K39" s="177" t="str">
        <f>IF(J39&lt;0.01,"",(J39*I39))</f>
        <v/>
      </c>
    </row>
    <row r="40" spans="2:12" x14ac:dyDescent="0.25">
      <c r="B40" s="946"/>
      <c r="C40" s="947"/>
      <c r="D40" s="2512"/>
      <c r="E40" s="2513"/>
      <c r="F40" s="2513"/>
      <c r="G40" s="2513"/>
      <c r="H40" s="2514"/>
      <c r="I40" s="125"/>
      <c r="J40" s="130"/>
      <c r="K40" s="177"/>
    </row>
    <row r="41" spans="2:12" ht="13.8" thickBot="1" x14ac:dyDescent="0.3">
      <c r="B41" s="946"/>
      <c r="C41" s="947"/>
      <c r="D41" s="2515"/>
      <c r="E41" s="2516"/>
      <c r="F41" s="2516"/>
      <c r="G41" s="2516"/>
      <c r="H41" s="2517"/>
      <c r="I41" s="125"/>
      <c r="J41" s="130"/>
      <c r="K41" s="177"/>
    </row>
    <row r="42" spans="2:12" ht="13.8" thickBot="1" x14ac:dyDescent="0.3">
      <c r="B42" s="2518" t="s">
        <v>869</v>
      </c>
      <c r="C42" s="2519"/>
      <c r="D42" s="2509"/>
      <c r="E42" s="2510"/>
      <c r="F42" s="2510"/>
      <c r="G42" s="2510"/>
      <c r="H42" s="2511"/>
      <c r="I42" s="125">
        <f>'Maximum Rates'!$D$10</f>
        <v>74</v>
      </c>
      <c r="J42" s="762"/>
      <c r="K42" s="177" t="str">
        <f>IF(J42&lt;0.01,"",(J42*I42))</f>
        <v/>
      </c>
    </row>
    <row r="43" spans="2:12" x14ac:dyDescent="0.25">
      <c r="B43" s="2520"/>
      <c r="C43" s="2521"/>
      <c r="D43" s="2512"/>
      <c r="E43" s="2513"/>
      <c r="F43" s="2513"/>
      <c r="G43" s="2513"/>
      <c r="H43" s="2514"/>
      <c r="I43" s="125"/>
      <c r="J43" s="130"/>
      <c r="K43" s="1494"/>
    </row>
    <row r="44" spans="2:12" ht="13.8" thickBot="1" x14ac:dyDescent="0.3">
      <c r="B44" s="2520"/>
      <c r="C44" s="2521"/>
      <c r="D44" s="2515"/>
      <c r="E44" s="2516"/>
      <c r="F44" s="2516"/>
      <c r="G44" s="2516"/>
      <c r="H44" s="2514"/>
      <c r="I44" s="125"/>
      <c r="J44" s="130"/>
      <c r="K44" s="1494"/>
    </row>
    <row r="45" spans="2:12" ht="13.8" thickBot="1" x14ac:dyDescent="0.3">
      <c r="B45" s="1504" t="s">
        <v>1268</v>
      </c>
      <c r="C45" s="112"/>
      <c r="D45" s="112"/>
      <c r="E45" s="112"/>
      <c r="F45" s="112"/>
      <c r="G45" s="112"/>
      <c r="H45" s="2522" t="s">
        <v>802</v>
      </c>
      <c r="I45" s="2523"/>
      <c r="J45" s="2523"/>
      <c r="K45" s="670" t="str">
        <f>IF(SUM(K29:K44)=0,"",SUM(K29:K44))</f>
        <v/>
      </c>
      <c r="L45" s="1493">
        <f>IF(K45="",0,1)</f>
        <v>0</v>
      </c>
    </row>
    <row r="46" spans="2:12" ht="18" thickBot="1" x14ac:dyDescent="0.35">
      <c r="B46" s="1512" t="s">
        <v>1293</v>
      </c>
      <c r="C46" s="1510"/>
      <c r="D46" s="1510"/>
      <c r="E46" s="1510"/>
      <c r="F46" s="1510"/>
      <c r="G46" s="1510"/>
      <c r="H46" s="1510"/>
      <c r="I46" s="1510"/>
      <c r="J46" s="1510"/>
      <c r="K46" s="1511"/>
    </row>
    <row r="47" spans="2:12" ht="27" thickBot="1" x14ac:dyDescent="0.3">
      <c r="B47" s="1699" t="s">
        <v>1288</v>
      </c>
      <c r="C47" s="950"/>
      <c r="D47" s="950"/>
      <c r="E47" s="950"/>
      <c r="F47" s="950"/>
      <c r="G47" s="950"/>
      <c r="H47" s="950"/>
      <c r="I47" s="950"/>
      <c r="J47" s="950"/>
      <c r="K47" s="1700"/>
    </row>
    <row r="48" spans="2:12" ht="21.6" customHeight="1" x14ac:dyDescent="0.3">
      <c r="B48" s="1507" t="s">
        <v>1292</v>
      </c>
      <c r="C48" s="1508"/>
      <c r="D48" s="1508"/>
      <c r="E48" s="1508"/>
      <c r="F48" s="1508"/>
      <c r="G48" s="1508"/>
      <c r="H48" s="1508"/>
      <c r="I48" s="1508"/>
      <c r="J48" s="1508"/>
      <c r="K48" s="1509"/>
    </row>
    <row r="49" spans="2:11" ht="13.8" thickBot="1" x14ac:dyDescent="0.3">
      <c r="B49" s="766"/>
      <c r="C49" s="767"/>
      <c r="D49" s="770" t="s">
        <v>638</v>
      </c>
      <c r="E49" s="769"/>
      <c r="F49" s="769"/>
      <c r="G49" s="769"/>
      <c r="H49" s="769"/>
      <c r="I49" s="767"/>
      <c r="J49" s="767"/>
      <c r="K49" s="768"/>
    </row>
    <row r="50" spans="2:11" ht="13.95" customHeight="1" thickBot="1" x14ac:dyDescent="0.3">
      <c r="B50" s="2518" t="s">
        <v>453</v>
      </c>
      <c r="C50" s="2519"/>
      <c r="D50" s="2509"/>
      <c r="E50" s="2510"/>
      <c r="F50" s="2510"/>
      <c r="G50" s="2510"/>
      <c r="H50" s="2511"/>
      <c r="I50" s="125">
        <f>'Maximum Rates'!$D$5</f>
        <v>122</v>
      </c>
      <c r="J50" s="762"/>
      <c r="K50" s="177" t="str">
        <f>IF(J50&lt;0.01,"",(J50*I50))</f>
        <v/>
      </c>
    </row>
    <row r="51" spans="2:11" ht="13.2" customHeight="1" x14ac:dyDescent="0.25">
      <c r="B51" s="2520"/>
      <c r="C51" s="2521"/>
      <c r="D51" s="2512"/>
      <c r="E51" s="2513"/>
      <c r="F51" s="2513"/>
      <c r="G51" s="2513"/>
      <c r="H51" s="2514"/>
      <c r="I51" s="125"/>
      <c r="J51" s="130"/>
      <c r="K51" s="177"/>
    </row>
    <row r="52" spans="2:11" ht="13.2" customHeight="1" x14ac:dyDescent="0.25">
      <c r="B52" s="2520"/>
      <c r="C52" s="2521"/>
      <c r="D52" s="2512"/>
      <c r="E52" s="2513"/>
      <c r="F52" s="2513"/>
      <c r="G52" s="2513"/>
      <c r="H52" s="2514"/>
      <c r="I52" s="125"/>
      <c r="J52" s="130"/>
      <c r="K52" s="177"/>
    </row>
    <row r="53" spans="2:11" ht="13.95" customHeight="1" thickBot="1" x14ac:dyDescent="0.3">
      <c r="B53" s="946"/>
      <c r="C53" s="947"/>
      <c r="D53" s="2515"/>
      <c r="E53" s="2516"/>
      <c r="F53" s="2516"/>
      <c r="G53" s="2516"/>
      <c r="H53" s="2517"/>
      <c r="I53" s="125"/>
      <c r="J53" s="130"/>
      <c r="K53" s="177"/>
    </row>
    <row r="54" spans="2:11" ht="13.95" customHeight="1" thickBot="1" x14ac:dyDescent="0.3">
      <c r="B54" s="2518" t="s">
        <v>454</v>
      </c>
      <c r="C54" s="2519"/>
      <c r="D54" s="2509"/>
      <c r="E54" s="2510"/>
      <c r="F54" s="2510"/>
      <c r="G54" s="2510"/>
      <c r="H54" s="2511"/>
      <c r="I54" s="125">
        <f>'Maximum Rates'!$D$6</f>
        <v>140</v>
      </c>
      <c r="J54" s="762"/>
      <c r="K54" s="177" t="str">
        <f>IF(J54&lt;0.01,"",(J54*I54))</f>
        <v/>
      </c>
    </row>
    <row r="55" spans="2:11" ht="13.2" customHeight="1" x14ac:dyDescent="0.25">
      <c r="B55" s="2520"/>
      <c r="C55" s="2521"/>
      <c r="D55" s="2512"/>
      <c r="E55" s="2513"/>
      <c r="F55" s="2513"/>
      <c r="G55" s="2513"/>
      <c r="H55" s="2514"/>
      <c r="I55" s="125"/>
      <c r="J55" s="130"/>
      <c r="K55" s="177"/>
    </row>
    <row r="56" spans="2:11" ht="13.95" customHeight="1" thickBot="1" x14ac:dyDescent="0.3">
      <c r="B56" s="2520"/>
      <c r="C56" s="2521"/>
      <c r="D56" s="2515"/>
      <c r="E56" s="2516"/>
      <c r="F56" s="2516"/>
      <c r="G56" s="2516"/>
      <c r="H56" s="2517"/>
      <c r="I56" s="125"/>
      <c r="J56" s="130"/>
      <c r="K56" s="177"/>
    </row>
    <row r="57" spans="2:11" ht="13.95" customHeight="1" thickBot="1" x14ac:dyDescent="0.3">
      <c r="B57" s="2518" t="s">
        <v>27</v>
      </c>
      <c r="C57" s="2519"/>
      <c r="D57" s="2509"/>
      <c r="E57" s="2510"/>
      <c r="F57" s="2510"/>
      <c r="G57" s="2510"/>
      <c r="H57" s="2511"/>
      <c r="I57" s="125">
        <f>'Maximum Rates'!$D$7</f>
        <v>102</v>
      </c>
      <c r="J57" s="762"/>
      <c r="K57" s="177" t="str">
        <f>IF(J57&lt;0.01,"",(J57*I57))</f>
        <v/>
      </c>
    </row>
    <row r="58" spans="2:11" ht="13.2" customHeight="1" x14ac:dyDescent="0.25">
      <c r="B58" s="2518" t="s">
        <v>796</v>
      </c>
      <c r="C58" s="2519"/>
      <c r="D58" s="2512"/>
      <c r="E58" s="2513"/>
      <c r="F58" s="2513"/>
      <c r="G58" s="2513"/>
      <c r="H58" s="2514"/>
      <c r="I58" s="125"/>
      <c r="J58" s="130"/>
      <c r="K58" s="177"/>
    </row>
    <row r="59" spans="2:11" ht="13.95" customHeight="1" thickBot="1" x14ac:dyDescent="0.3">
      <c r="B59" s="2520"/>
      <c r="C59" s="2521"/>
      <c r="D59" s="2515"/>
      <c r="E59" s="2516"/>
      <c r="F59" s="2516"/>
      <c r="G59" s="2516"/>
      <c r="H59" s="2517"/>
      <c r="I59" s="125"/>
      <c r="J59" s="130"/>
      <c r="K59" s="177"/>
    </row>
    <row r="60" spans="2:11" ht="13.95" customHeight="1" thickBot="1" x14ac:dyDescent="0.3">
      <c r="B60" s="945" t="s">
        <v>795</v>
      </c>
      <c r="C60" s="947"/>
      <c r="D60" s="2509"/>
      <c r="E60" s="2510"/>
      <c r="F60" s="2510"/>
      <c r="G60" s="2510"/>
      <c r="H60" s="2511"/>
      <c r="I60" s="125">
        <f>'Maximum Rates'!$D$8</f>
        <v>95</v>
      </c>
      <c r="J60" s="762"/>
      <c r="K60" s="177" t="str">
        <f>IF(J60&lt;0.01,"",(J60*I60))</f>
        <v/>
      </c>
    </row>
    <row r="61" spans="2:11" ht="13.2" customHeight="1" x14ac:dyDescent="0.25">
      <c r="B61" s="946"/>
      <c r="C61" s="947"/>
      <c r="D61" s="2512"/>
      <c r="E61" s="2513"/>
      <c r="F61" s="2513"/>
      <c r="G61" s="2513"/>
      <c r="H61" s="2514"/>
      <c r="I61" s="125"/>
      <c r="J61" s="130"/>
      <c r="K61" s="177"/>
    </row>
    <row r="62" spans="2:11" ht="13.95" customHeight="1" thickBot="1" x14ac:dyDescent="0.3">
      <c r="B62" s="946"/>
      <c r="C62" s="947"/>
      <c r="D62" s="2515"/>
      <c r="E62" s="2516"/>
      <c r="F62" s="2516"/>
      <c r="G62" s="2516"/>
      <c r="H62" s="2517"/>
      <c r="I62" s="125"/>
      <c r="J62" s="130"/>
      <c r="K62" s="177"/>
    </row>
    <row r="63" spans="2:11" ht="13.95" customHeight="1" thickBot="1" x14ac:dyDescent="0.3">
      <c r="B63" s="2518" t="s">
        <v>456</v>
      </c>
      <c r="C63" s="2519"/>
      <c r="D63" s="2509"/>
      <c r="E63" s="2510"/>
      <c r="F63" s="2510"/>
      <c r="G63" s="2510"/>
      <c r="H63" s="2511"/>
      <c r="I63" s="125">
        <f>'Maximum Rates'!$D$10</f>
        <v>74</v>
      </c>
      <c r="J63" s="762"/>
      <c r="K63" s="177" t="str">
        <f>IF(J63&lt;0.01,"",(J63*I63))</f>
        <v/>
      </c>
    </row>
    <row r="64" spans="2:11" ht="13.2" customHeight="1" x14ac:dyDescent="0.25">
      <c r="B64" s="2520"/>
      <c r="C64" s="2521"/>
      <c r="D64" s="2512"/>
      <c r="E64" s="2513"/>
      <c r="F64" s="2513"/>
      <c r="G64" s="2513"/>
      <c r="H64" s="2514"/>
      <c r="I64" s="125"/>
      <c r="J64" s="130"/>
      <c r="K64" s="177"/>
    </row>
    <row r="65" spans="2:12" ht="13.95" customHeight="1" thickBot="1" x14ac:dyDescent="0.3">
      <c r="B65" s="2520"/>
      <c r="C65" s="2521"/>
      <c r="D65" s="2515"/>
      <c r="E65" s="2516"/>
      <c r="F65" s="2516"/>
      <c r="G65" s="2516"/>
      <c r="H65" s="2517"/>
      <c r="I65" s="125"/>
      <c r="J65" s="130"/>
      <c r="K65" s="177"/>
    </row>
    <row r="66" spans="2:12" ht="13.95" customHeight="1" thickBot="1" x14ac:dyDescent="0.3">
      <c r="B66" s="2518" t="s">
        <v>457</v>
      </c>
      <c r="C66" s="2519"/>
      <c r="D66" s="2509"/>
      <c r="E66" s="2510"/>
      <c r="F66" s="2510"/>
      <c r="G66" s="2510"/>
      <c r="H66" s="2511"/>
      <c r="I66" s="125">
        <f>'Maximum Rates'!$D$11</f>
        <v>60</v>
      </c>
      <c r="J66" s="762"/>
      <c r="K66" s="177" t="str">
        <f>IF(J66&lt;0.01,"",(J66*I66))</f>
        <v/>
      </c>
    </row>
    <row r="67" spans="2:12" ht="13.95" customHeight="1" thickBot="1" x14ac:dyDescent="0.3">
      <c r="B67" s="2520"/>
      <c r="C67" s="2521"/>
      <c r="D67" s="2515"/>
      <c r="E67" s="2516"/>
      <c r="F67" s="2516"/>
      <c r="G67" s="2516"/>
      <c r="H67" s="2514"/>
      <c r="I67" s="107"/>
      <c r="J67" s="130"/>
      <c r="K67" s="1494"/>
    </row>
    <row r="68" spans="2:12" ht="13.95" customHeight="1" thickBot="1" x14ac:dyDescent="0.3">
      <c r="B68" s="1504" t="s">
        <v>1268</v>
      </c>
      <c r="C68" s="112"/>
      <c r="D68" s="112"/>
      <c r="E68" s="112"/>
      <c r="F68" s="112"/>
      <c r="G68" s="112"/>
      <c r="H68" s="2522" t="s">
        <v>84</v>
      </c>
      <c r="I68" s="2523"/>
      <c r="J68" s="2523"/>
      <c r="K68" s="670" t="str">
        <f>IF(SUM(K50:K66)=0,"",SUM(K50:K66))</f>
        <v/>
      </c>
      <c r="L68" s="1493">
        <f>IF(K68="",0,1)</f>
        <v>0</v>
      </c>
    </row>
    <row r="69" spans="2:12" ht="18" thickBot="1" x14ac:dyDescent="0.35">
      <c r="B69" s="1513" t="s">
        <v>1294</v>
      </c>
      <c r="C69" s="1514"/>
      <c r="D69" s="1514"/>
      <c r="E69" s="1514"/>
      <c r="F69" s="1514"/>
      <c r="G69" s="1514"/>
      <c r="H69" s="1514"/>
      <c r="I69" s="1514"/>
      <c r="J69" s="1514"/>
      <c r="K69" s="1515"/>
    </row>
    <row r="70" spans="2:12" ht="27.6" thickBot="1" x14ac:dyDescent="0.35">
      <c r="B70" s="1516" t="s">
        <v>1288</v>
      </c>
      <c r="C70" s="1517"/>
      <c r="D70" s="1517"/>
      <c r="E70" s="1517"/>
      <c r="F70" s="1517"/>
      <c r="G70" s="1517"/>
      <c r="H70" s="1517"/>
      <c r="I70" s="1517"/>
      <c r="J70" s="1517"/>
      <c r="K70" s="1518"/>
    </row>
    <row r="71" spans="2:12" ht="18.600000000000001" customHeight="1" x14ac:dyDescent="0.3">
      <c r="B71" s="1507" t="s">
        <v>1284</v>
      </c>
      <c r="C71" s="1508"/>
      <c r="D71" s="1508"/>
      <c r="E71" s="1508"/>
      <c r="F71" s="1508"/>
      <c r="G71" s="1508"/>
      <c r="H71" s="1508"/>
      <c r="I71" s="1508"/>
      <c r="J71" s="1508"/>
      <c r="K71" s="1509"/>
    </row>
    <row r="72" spans="2:12" ht="13.8" thickBot="1" x14ac:dyDescent="0.3">
      <c r="B72" s="766"/>
      <c r="C72" s="767"/>
      <c r="D72" s="770" t="s">
        <v>638</v>
      </c>
      <c r="E72" s="769"/>
      <c r="F72" s="769"/>
      <c r="G72" s="769"/>
      <c r="H72" s="769"/>
      <c r="I72" s="767"/>
      <c r="J72" s="767"/>
      <c r="K72" s="768"/>
    </row>
    <row r="73" spans="2:12" ht="13.95" customHeight="1" thickBot="1" x14ac:dyDescent="0.3">
      <c r="B73" s="2518" t="s">
        <v>453</v>
      </c>
      <c r="C73" s="2519"/>
      <c r="D73" s="2509"/>
      <c r="E73" s="2510"/>
      <c r="F73" s="2510"/>
      <c r="G73" s="2510"/>
      <c r="H73" s="2511"/>
      <c r="I73" s="125">
        <f>'Maximum Rates'!$D$5*'Maximum Rates'!$C$46</f>
        <v>183</v>
      </c>
      <c r="J73" s="762"/>
      <c r="K73" s="177" t="str">
        <f>IF(J73&lt;0.01,"",(J73*I73))</f>
        <v/>
      </c>
    </row>
    <row r="74" spans="2:12" ht="13.2" customHeight="1" x14ac:dyDescent="0.25">
      <c r="B74" s="2520"/>
      <c r="C74" s="2521"/>
      <c r="D74" s="2512"/>
      <c r="E74" s="2513"/>
      <c r="F74" s="2513"/>
      <c r="G74" s="2513"/>
      <c r="H74" s="2514"/>
      <c r="I74" s="125"/>
      <c r="J74" s="130"/>
      <c r="K74" s="177"/>
    </row>
    <row r="75" spans="2:12" ht="13.2" customHeight="1" x14ac:dyDescent="0.25">
      <c r="B75" s="2520"/>
      <c r="C75" s="2521"/>
      <c r="D75" s="2512"/>
      <c r="E75" s="2513"/>
      <c r="F75" s="2513"/>
      <c r="G75" s="2513"/>
      <c r="H75" s="2514"/>
      <c r="I75" s="125"/>
      <c r="J75" s="130"/>
      <c r="K75" s="177"/>
    </row>
    <row r="76" spans="2:12" ht="13.2" customHeight="1" x14ac:dyDescent="0.25">
      <c r="B76" s="946"/>
      <c r="C76" s="947"/>
      <c r="D76" s="2512"/>
      <c r="E76" s="2513"/>
      <c r="F76" s="2513"/>
      <c r="G76" s="2513"/>
      <c r="H76" s="2514"/>
      <c r="I76" s="125"/>
      <c r="J76" s="130"/>
      <c r="K76" s="177"/>
    </row>
    <row r="77" spans="2:12" ht="13.2" customHeight="1" x14ac:dyDescent="0.25">
      <c r="B77" s="946"/>
      <c r="C77" s="947"/>
      <c r="D77" s="2512"/>
      <c r="E77" s="2513"/>
      <c r="F77" s="2513"/>
      <c r="G77" s="2513"/>
      <c r="H77" s="2514"/>
      <c r="I77" s="138"/>
      <c r="J77" s="130"/>
      <c r="K77" s="177"/>
    </row>
    <row r="78" spans="2:12" ht="13.2" customHeight="1" x14ac:dyDescent="0.25">
      <c r="B78" s="946"/>
      <c r="C78" s="947"/>
      <c r="D78" s="2512"/>
      <c r="E78" s="2513"/>
      <c r="F78" s="2513"/>
      <c r="G78" s="2513"/>
      <c r="H78" s="2514"/>
      <c r="I78" s="125"/>
      <c r="J78" s="130"/>
      <c r="K78" s="177"/>
    </row>
    <row r="79" spans="2:12" ht="13.2" customHeight="1" x14ac:dyDescent="0.25">
      <c r="B79" s="946"/>
      <c r="C79" s="947"/>
      <c r="D79" s="2512"/>
      <c r="E79" s="2513"/>
      <c r="F79" s="2513"/>
      <c r="G79" s="2513"/>
      <c r="H79" s="2514"/>
      <c r="I79" s="125"/>
      <c r="J79" s="130"/>
      <c r="K79" s="177"/>
    </row>
    <row r="80" spans="2:12" ht="13.95" customHeight="1" thickBot="1" x14ac:dyDescent="0.3">
      <c r="B80" s="946"/>
      <c r="C80" s="947"/>
      <c r="D80" s="2515"/>
      <c r="E80" s="2516"/>
      <c r="F80" s="2516"/>
      <c r="G80" s="2516"/>
      <c r="H80" s="2517"/>
      <c r="I80" s="125"/>
      <c r="J80" s="130"/>
      <c r="K80" s="177"/>
    </row>
    <row r="81" spans="2:11" ht="13.95" customHeight="1" thickBot="1" x14ac:dyDescent="0.3">
      <c r="B81" s="2518" t="s">
        <v>454</v>
      </c>
      <c r="C81" s="2519"/>
      <c r="D81" s="2509"/>
      <c r="E81" s="2510"/>
      <c r="F81" s="2510"/>
      <c r="G81" s="2510"/>
      <c r="H81" s="2511"/>
      <c r="I81" s="758">
        <f>'Maximum Rates'!$D$6*'Maximum Rates'!$C$46</f>
        <v>210</v>
      </c>
      <c r="J81" s="762"/>
      <c r="K81" s="177" t="str">
        <f>IF(J81&lt;0.01,"",(J81*I81))</f>
        <v/>
      </c>
    </row>
    <row r="82" spans="2:11" ht="13.2" customHeight="1" x14ac:dyDescent="0.25">
      <c r="B82" s="2520"/>
      <c r="C82" s="2521"/>
      <c r="D82" s="2512"/>
      <c r="E82" s="2513"/>
      <c r="F82" s="2513"/>
      <c r="G82" s="2513"/>
      <c r="H82" s="2514"/>
      <c r="I82" s="125"/>
      <c r="J82" s="130"/>
      <c r="K82" s="177"/>
    </row>
    <row r="83" spans="2:11" ht="13.2" customHeight="1" x14ac:dyDescent="0.25">
      <c r="B83" s="2520"/>
      <c r="C83" s="2521"/>
      <c r="D83" s="2512"/>
      <c r="E83" s="2513"/>
      <c r="F83" s="2513"/>
      <c r="G83" s="2513"/>
      <c r="H83" s="2514"/>
      <c r="I83" s="125"/>
      <c r="J83" s="130"/>
      <c r="K83" s="177"/>
    </row>
    <row r="84" spans="2:11" ht="13.2" customHeight="1" x14ac:dyDescent="0.25">
      <c r="B84" s="946"/>
      <c r="C84" s="947"/>
      <c r="D84" s="2512"/>
      <c r="E84" s="2513"/>
      <c r="F84" s="2513"/>
      <c r="G84" s="2513"/>
      <c r="H84" s="2514"/>
      <c r="I84" s="125"/>
      <c r="J84" s="130"/>
      <c r="K84" s="177"/>
    </row>
    <row r="85" spans="2:11" ht="13.2" customHeight="1" x14ac:dyDescent="0.25">
      <c r="B85" s="946"/>
      <c r="C85" s="947"/>
      <c r="D85" s="2512"/>
      <c r="E85" s="2513"/>
      <c r="F85" s="2513"/>
      <c r="G85" s="2513"/>
      <c r="H85" s="2514"/>
      <c r="I85" s="125"/>
      <c r="J85" s="130"/>
      <c r="K85" s="177"/>
    </row>
    <row r="86" spans="2:11" ht="13.95" customHeight="1" thickBot="1" x14ac:dyDescent="0.3">
      <c r="B86" s="946"/>
      <c r="C86" s="947"/>
      <c r="D86" s="2515"/>
      <c r="E86" s="2516"/>
      <c r="F86" s="2516"/>
      <c r="G86" s="2516"/>
      <c r="H86" s="2517"/>
      <c r="I86" s="125"/>
      <c r="J86" s="130"/>
      <c r="K86" s="177"/>
    </row>
    <row r="87" spans="2:11" ht="13.95" customHeight="1" thickBot="1" x14ac:dyDescent="0.3">
      <c r="B87" s="2518" t="s">
        <v>27</v>
      </c>
      <c r="C87" s="2519"/>
      <c r="D87" s="2509"/>
      <c r="E87" s="2510"/>
      <c r="F87" s="2510"/>
      <c r="G87" s="2510"/>
      <c r="H87" s="2511"/>
      <c r="I87" s="758">
        <f>('Maximum Rates'!$C$46*'Maximum Rates'!$D$7)</f>
        <v>153</v>
      </c>
      <c r="J87" s="762"/>
      <c r="K87" s="177" t="str">
        <f>IF(J87&lt;0.01,"",(J87*I87))</f>
        <v/>
      </c>
    </row>
    <row r="88" spans="2:11" ht="13.2" customHeight="1" x14ac:dyDescent="0.25">
      <c r="B88" s="2518" t="s">
        <v>796</v>
      </c>
      <c r="C88" s="2519"/>
      <c r="D88" s="2512"/>
      <c r="E88" s="2513"/>
      <c r="F88" s="2513"/>
      <c r="G88" s="2513"/>
      <c r="H88" s="2514"/>
      <c r="I88" s="125"/>
      <c r="J88" s="130"/>
      <c r="K88" s="177"/>
    </row>
    <row r="89" spans="2:11" ht="13.2" customHeight="1" x14ac:dyDescent="0.25">
      <c r="B89" s="2520"/>
      <c r="C89" s="2521"/>
      <c r="D89" s="2512"/>
      <c r="E89" s="2513"/>
      <c r="F89" s="2513"/>
      <c r="G89" s="2513"/>
      <c r="H89" s="2514"/>
      <c r="I89" s="125"/>
      <c r="J89" s="130"/>
      <c r="K89" s="177"/>
    </row>
    <row r="90" spans="2:11" ht="13.2" customHeight="1" x14ac:dyDescent="0.25">
      <c r="B90" s="946"/>
      <c r="C90" s="947"/>
      <c r="D90" s="2512"/>
      <c r="E90" s="2513"/>
      <c r="F90" s="2513"/>
      <c r="G90" s="2513"/>
      <c r="H90" s="2514"/>
      <c r="I90" s="125"/>
      <c r="J90" s="130"/>
      <c r="K90" s="177"/>
    </row>
    <row r="91" spans="2:11" ht="13.2" customHeight="1" x14ac:dyDescent="0.25">
      <c r="B91" s="946"/>
      <c r="C91" s="947"/>
      <c r="D91" s="2512"/>
      <c r="E91" s="2513"/>
      <c r="F91" s="2513"/>
      <c r="G91" s="2513"/>
      <c r="H91" s="2514"/>
      <c r="I91" s="125"/>
      <c r="J91" s="130"/>
      <c r="K91" s="177"/>
    </row>
    <row r="92" spans="2:11" ht="13.2" customHeight="1" x14ac:dyDescent="0.25">
      <c r="B92" s="946"/>
      <c r="C92" s="947"/>
      <c r="D92" s="2512"/>
      <c r="E92" s="2513"/>
      <c r="F92" s="2513"/>
      <c r="G92" s="2513"/>
      <c r="H92" s="2514"/>
      <c r="I92" s="125"/>
      <c r="J92" s="130"/>
      <c r="K92" s="177"/>
    </row>
    <row r="93" spans="2:11" ht="13.2" customHeight="1" x14ac:dyDescent="0.25">
      <c r="B93" s="946"/>
      <c r="C93" s="947"/>
      <c r="D93" s="2512"/>
      <c r="E93" s="2513"/>
      <c r="F93" s="2513"/>
      <c r="G93" s="2513"/>
      <c r="H93" s="2514"/>
      <c r="I93" s="125"/>
      <c r="J93" s="130"/>
      <c r="K93" s="177"/>
    </row>
    <row r="94" spans="2:11" ht="13.2" customHeight="1" x14ac:dyDescent="0.25">
      <c r="B94" s="946"/>
      <c r="C94" s="947"/>
      <c r="D94" s="2512"/>
      <c r="E94" s="2513"/>
      <c r="F94" s="2513"/>
      <c r="G94" s="2513"/>
      <c r="H94" s="2514"/>
      <c r="I94" s="125"/>
      <c r="J94" s="130"/>
      <c r="K94" s="177"/>
    </row>
    <row r="95" spans="2:11" ht="13.2" customHeight="1" x14ac:dyDescent="0.25">
      <c r="B95" s="946"/>
      <c r="C95" s="947"/>
      <c r="D95" s="2512"/>
      <c r="E95" s="2513"/>
      <c r="F95" s="2513"/>
      <c r="G95" s="2513"/>
      <c r="H95" s="2514"/>
      <c r="I95" s="125"/>
      <c r="J95" s="130"/>
      <c r="K95" s="177"/>
    </row>
    <row r="96" spans="2:11" ht="13.2" customHeight="1" x14ac:dyDescent="0.25">
      <c r="B96" s="946"/>
      <c r="C96" s="947"/>
      <c r="D96" s="2512"/>
      <c r="E96" s="2513"/>
      <c r="F96" s="2513"/>
      <c r="G96" s="2513"/>
      <c r="H96" s="2514"/>
      <c r="I96" s="125"/>
      <c r="J96" s="130"/>
      <c r="K96" s="177"/>
    </row>
    <row r="97" spans="2:11" ht="13.2" customHeight="1" x14ac:dyDescent="0.25">
      <c r="B97" s="946"/>
      <c r="C97" s="947"/>
      <c r="D97" s="2512"/>
      <c r="E97" s="2513"/>
      <c r="F97" s="2513"/>
      <c r="G97" s="2513"/>
      <c r="H97" s="2514"/>
      <c r="I97" s="125"/>
      <c r="J97" s="130"/>
      <c r="K97" s="177"/>
    </row>
    <row r="98" spans="2:11" ht="13.95" customHeight="1" thickBot="1" x14ac:dyDescent="0.3">
      <c r="B98" s="946"/>
      <c r="C98" s="947"/>
      <c r="D98" s="2515"/>
      <c r="E98" s="2516"/>
      <c r="F98" s="2516"/>
      <c r="G98" s="2516"/>
      <c r="H98" s="2517"/>
      <c r="I98" s="125"/>
      <c r="J98" s="130"/>
      <c r="K98" s="177"/>
    </row>
    <row r="99" spans="2:11" ht="13.95" customHeight="1" thickBot="1" x14ac:dyDescent="0.3">
      <c r="B99" s="945" t="s">
        <v>869</v>
      </c>
      <c r="C99" s="947"/>
      <c r="D99" s="2509"/>
      <c r="E99" s="2510"/>
      <c r="F99" s="2510"/>
      <c r="G99" s="2510"/>
      <c r="H99" s="2511"/>
      <c r="I99" s="758">
        <f>('Maximum Rates'!$C$46*'Maximum Rates'!$D$9)</f>
        <v>111</v>
      </c>
      <c r="J99" s="762"/>
      <c r="K99" s="177" t="str">
        <f>IF(J99&lt;0.01,"",(J99*I99))</f>
        <v/>
      </c>
    </row>
    <row r="100" spans="2:11" ht="13.2" customHeight="1" x14ac:dyDescent="0.25">
      <c r="B100" s="946"/>
      <c r="C100" s="947"/>
      <c r="D100" s="2512"/>
      <c r="E100" s="2513"/>
      <c r="F100" s="2513"/>
      <c r="G100" s="2513"/>
      <c r="H100" s="2514"/>
      <c r="I100" s="125"/>
      <c r="J100" s="130"/>
      <c r="K100" s="177"/>
    </row>
    <row r="101" spans="2:11" ht="13.2" customHeight="1" x14ac:dyDescent="0.25">
      <c r="B101" s="946"/>
      <c r="C101" s="947"/>
      <c r="D101" s="2512"/>
      <c r="E101" s="2513"/>
      <c r="F101" s="2513"/>
      <c r="G101" s="2513"/>
      <c r="H101" s="2514"/>
      <c r="I101" s="125"/>
      <c r="J101" s="130"/>
      <c r="K101" s="177"/>
    </row>
    <row r="102" spans="2:11" ht="13.2" customHeight="1" x14ac:dyDescent="0.25">
      <c r="B102" s="946"/>
      <c r="C102" s="947"/>
      <c r="D102" s="2512"/>
      <c r="E102" s="2513"/>
      <c r="F102" s="2513"/>
      <c r="G102" s="2513"/>
      <c r="H102" s="2514"/>
      <c r="I102" s="125"/>
      <c r="J102" s="130"/>
      <c r="K102" s="177"/>
    </row>
    <row r="103" spans="2:11" ht="13.2" customHeight="1" x14ac:dyDescent="0.25">
      <c r="B103" s="946"/>
      <c r="C103" s="947"/>
      <c r="D103" s="2512"/>
      <c r="E103" s="2513"/>
      <c r="F103" s="2513"/>
      <c r="G103" s="2513"/>
      <c r="H103" s="2514"/>
      <c r="I103" s="125"/>
      <c r="J103" s="130"/>
      <c r="K103" s="177"/>
    </row>
    <row r="104" spans="2:11" ht="13.2" customHeight="1" x14ac:dyDescent="0.25">
      <c r="B104" s="946"/>
      <c r="C104" s="947"/>
      <c r="D104" s="2512"/>
      <c r="E104" s="2513"/>
      <c r="F104" s="2513"/>
      <c r="G104" s="2513"/>
      <c r="H104" s="2514"/>
      <c r="I104" s="125"/>
      <c r="J104" s="130"/>
      <c r="K104" s="177"/>
    </row>
    <row r="105" spans="2:11" ht="13.2" customHeight="1" x14ac:dyDescent="0.25">
      <c r="B105" s="946"/>
      <c r="C105" s="947"/>
      <c r="D105" s="2512"/>
      <c r="E105" s="2513"/>
      <c r="F105" s="2513"/>
      <c r="G105" s="2513"/>
      <c r="H105" s="2514"/>
      <c r="I105" s="125"/>
      <c r="J105" s="130"/>
      <c r="K105" s="177"/>
    </row>
    <row r="106" spans="2:11" ht="13.2" customHeight="1" x14ac:dyDescent="0.25">
      <c r="B106" s="946"/>
      <c r="C106" s="947"/>
      <c r="D106" s="2512"/>
      <c r="E106" s="2513"/>
      <c r="F106" s="2513"/>
      <c r="G106" s="2513"/>
      <c r="H106" s="2514"/>
      <c r="I106" s="125"/>
      <c r="J106" s="130"/>
      <c r="K106" s="177"/>
    </row>
    <row r="107" spans="2:11" ht="13.2" customHeight="1" x14ac:dyDescent="0.25">
      <c r="B107" s="946"/>
      <c r="C107" s="947"/>
      <c r="D107" s="2512"/>
      <c r="E107" s="2513"/>
      <c r="F107" s="2513"/>
      <c r="G107" s="2513"/>
      <c r="H107" s="2514"/>
      <c r="I107" s="125"/>
      <c r="J107" s="130"/>
      <c r="K107" s="177"/>
    </row>
    <row r="108" spans="2:11" ht="13.2" customHeight="1" x14ac:dyDescent="0.25">
      <c r="B108" s="946"/>
      <c r="C108" s="947"/>
      <c r="D108" s="2512"/>
      <c r="E108" s="2513"/>
      <c r="F108" s="2513"/>
      <c r="G108" s="2513"/>
      <c r="H108" s="2514"/>
      <c r="I108" s="125"/>
      <c r="J108" s="130"/>
      <c r="K108" s="177"/>
    </row>
    <row r="109" spans="2:11" ht="13.2" customHeight="1" x14ac:dyDescent="0.25">
      <c r="B109" s="946"/>
      <c r="C109" s="947"/>
      <c r="D109" s="2512"/>
      <c r="E109" s="2513"/>
      <c r="F109" s="2513"/>
      <c r="G109" s="2513"/>
      <c r="H109" s="2514"/>
      <c r="I109" s="125"/>
      <c r="J109" s="130"/>
      <c r="K109" s="177"/>
    </row>
    <row r="110" spans="2:11" ht="13.2" customHeight="1" x14ac:dyDescent="0.25">
      <c r="B110" s="946"/>
      <c r="C110" s="947"/>
      <c r="D110" s="2515"/>
      <c r="E110" s="2516"/>
      <c r="F110" s="2516"/>
      <c r="G110" s="2516"/>
      <c r="H110" s="2517"/>
      <c r="I110" s="125"/>
      <c r="J110" s="130"/>
      <c r="K110" s="177"/>
    </row>
    <row r="111" spans="2:11" x14ac:dyDescent="0.25">
      <c r="B111" s="68"/>
      <c r="C111" s="138"/>
      <c r="D111" s="138"/>
      <c r="E111" s="138"/>
      <c r="F111" s="138"/>
      <c r="G111" s="138"/>
      <c r="H111" s="138"/>
      <c r="I111" s="138"/>
      <c r="J111" s="138"/>
      <c r="K111" s="1495"/>
    </row>
    <row r="112" spans="2:11" x14ac:dyDescent="0.25">
      <c r="B112" s="68"/>
      <c r="C112" s="138"/>
      <c r="D112" s="138"/>
      <c r="E112" s="138"/>
      <c r="F112" s="138"/>
      <c r="G112" s="138"/>
      <c r="H112" s="138"/>
      <c r="I112" s="138"/>
      <c r="J112" s="138"/>
      <c r="K112" s="1495"/>
    </row>
    <row r="113" spans="2:12" x14ac:dyDescent="0.25">
      <c r="B113" s="68"/>
      <c r="C113" s="138"/>
      <c r="D113" s="138"/>
      <c r="E113" s="138"/>
      <c r="F113" s="138"/>
      <c r="G113" s="138"/>
      <c r="H113" s="138"/>
      <c r="I113" s="138"/>
      <c r="J113" s="138"/>
      <c r="K113" s="1495"/>
    </row>
    <row r="114" spans="2:12" x14ac:dyDescent="0.25">
      <c r="B114" s="68"/>
      <c r="C114" s="138"/>
      <c r="D114" s="138"/>
      <c r="E114" s="138"/>
      <c r="F114" s="138"/>
      <c r="G114" s="138"/>
      <c r="H114" s="138"/>
      <c r="I114" s="138"/>
      <c r="J114" s="138"/>
      <c r="K114" s="1495"/>
    </row>
    <row r="115" spans="2:12" ht="13.8" thickBot="1" x14ac:dyDescent="0.3">
      <c r="B115" s="68"/>
      <c r="C115" s="138"/>
      <c r="D115" s="138"/>
      <c r="E115" s="138"/>
      <c r="F115" s="138"/>
      <c r="G115" s="138"/>
      <c r="H115" s="138"/>
      <c r="I115" s="138"/>
      <c r="J115" s="138"/>
      <c r="K115" s="1495"/>
    </row>
    <row r="116" spans="2:12" ht="13.95" customHeight="1" thickBot="1" x14ac:dyDescent="0.3">
      <c r="B116" s="111"/>
      <c r="C116" s="112"/>
      <c r="D116" s="112"/>
      <c r="E116" s="112"/>
      <c r="F116" s="112"/>
      <c r="G116" s="112"/>
      <c r="H116" s="2522" t="s">
        <v>1145</v>
      </c>
      <c r="I116" s="2523"/>
      <c r="J116" s="2523"/>
      <c r="K116" s="670" t="str">
        <f>IF(SUM(K73:K114)=0,"",SUM(K73:K114))</f>
        <v/>
      </c>
      <c r="L116" s="1493">
        <f>IF(K116="",0,1)</f>
        <v>0</v>
      </c>
    </row>
  </sheetData>
  <sheetProtection algorithmName="SHA-512" hashValue="3ENGwUdb+eHwwGkrIHlgsGuP53Xb4kQLD4oV0SMJQ/Z0TH5WOs76UCrSUiPWHoNSHu2tJeBDvnCwQnEsX4cVCw==" saltValue="CtJOny3bjiO0CwmSK1zrWA==" spinCount="100000" sheet="1" objects="1" scenarios="1" selectLockedCells="1"/>
  <protectedRanges>
    <protectedRange sqref="D7:H24 J7 J11 J14 J17 J20 J23 D29:H44 J29 J33 J36 J39 J42 D50:H67 J50 J54 J57 J60 J63 J66 J73 J81 J87 D73:H110 J99" name="Range2"/>
  </protectedRanges>
  <customSheetViews>
    <customSheetView guid="{BC429C65-53B8-4F97-88D2-74ECCD734800}" showGridLines="0" showRowCol="0">
      <selection activeCell="J7" sqref="J7"/>
      <rowBreaks count="1" manualBreakCount="1">
        <brk id="47" min="1" max="11" man="1"/>
      </rowBreaks>
      <pageMargins left="0.25" right="0.25" top="0.75" bottom="1" header="0" footer="0"/>
      <printOptions horizontalCentered="1"/>
      <pageSetup orientation="portrait" r:id="rId1"/>
      <headerFooter alignWithMargins="0">
        <oddHeader>&amp;RCP</oddHeader>
        <oddFooter>&amp;LADEM Form 318 07/2012</oddFooter>
      </headerFooter>
    </customSheetView>
  </customSheetViews>
  <mergeCells count="76">
    <mergeCell ref="H116:J116"/>
    <mergeCell ref="D73:H80"/>
    <mergeCell ref="D81:H86"/>
    <mergeCell ref="D87:H98"/>
    <mergeCell ref="D99:H110"/>
    <mergeCell ref="B88:C88"/>
    <mergeCell ref="B89:C89"/>
    <mergeCell ref="B73:C73"/>
    <mergeCell ref="B74:C74"/>
    <mergeCell ref="B75:C75"/>
    <mergeCell ref="B81:C81"/>
    <mergeCell ref="B82:C82"/>
    <mergeCell ref="B83:C83"/>
    <mergeCell ref="B87:C87"/>
    <mergeCell ref="B31:C31"/>
    <mergeCell ref="D11:H13"/>
    <mergeCell ref="B14:C14"/>
    <mergeCell ref="B15:C15"/>
    <mergeCell ref="B16:C16"/>
    <mergeCell ref="D14:H16"/>
    <mergeCell ref="B13:C13"/>
    <mergeCell ref="B12:C12"/>
    <mergeCell ref="B42:C42"/>
    <mergeCell ref="B43:C43"/>
    <mergeCell ref="B44:C44"/>
    <mergeCell ref="H45:J45"/>
    <mergeCell ref="D42:H44"/>
    <mergeCell ref="D39:H41"/>
    <mergeCell ref="D20:H22"/>
    <mergeCell ref="D23:H24"/>
    <mergeCell ref="D17:H19"/>
    <mergeCell ref="B36:C36"/>
    <mergeCell ref="B37:C37"/>
    <mergeCell ref="B38:C38"/>
    <mergeCell ref="D36:H38"/>
    <mergeCell ref="B35:C35"/>
    <mergeCell ref="B33:C33"/>
    <mergeCell ref="B34:C34"/>
    <mergeCell ref="B20:C20"/>
    <mergeCell ref="D29:H32"/>
    <mergeCell ref="D33:H35"/>
    <mergeCell ref="B29:C29"/>
    <mergeCell ref="B30:C30"/>
    <mergeCell ref="D6:H6"/>
    <mergeCell ref="D28:H28"/>
    <mergeCell ref="B21:C21"/>
    <mergeCell ref="B22:C22"/>
    <mergeCell ref="B23:C23"/>
    <mergeCell ref="B24:C24"/>
    <mergeCell ref="H25:J25"/>
    <mergeCell ref="B7:C7"/>
    <mergeCell ref="B8:C8"/>
    <mergeCell ref="B9:C9"/>
    <mergeCell ref="B11:C11"/>
    <mergeCell ref="D7:H10"/>
    <mergeCell ref="H68:J68"/>
    <mergeCell ref="B66:C66"/>
    <mergeCell ref="B67:C67"/>
    <mergeCell ref="B63:C63"/>
    <mergeCell ref="B64:C64"/>
    <mergeCell ref="B65:C65"/>
    <mergeCell ref="D66:H67"/>
    <mergeCell ref="D60:H62"/>
    <mergeCell ref="D63:H65"/>
    <mergeCell ref="D50:H53"/>
    <mergeCell ref="D54:H56"/>
    <mergeCell ref="B57:C57"/>
    <mergeCell ref="B58:C58"/>
    <mergeCell ref="B59:C59"/>
    <mergeCell ref="D57:H59"/>
    <mergeCell ref="B56:C56"/>
    <mergeCell ref="B50:C50"/>
    <mergeCell ref="B51:C51"/>
    <mergeCell ref="B52:C52"/>
    <mergeCell ref="B54:C54"/>
    <mergeCell ref="B55:C55"/>
  </mergeCells>
  <phoneticPr fontId="21" type="noConversion"/>
  <printOptions horizontalCentered="1"/>
  <pageMargins left="0.25" right="0.25" top="0.75" bottom="0.5" header="0" footer="0"/>
  <pageSetup orientation="portrait" r:id="rId2"/>
  <headerFooter alignWithMargins="0">
    <oddHeader>&amp;RCP</oddHeader>
    <oddFooter>&amp;LADEM Form 31 DRAFT &amp;C 2/2025&amp;R*M9 DRAFT</oddFooter>
  </headerFooter>
  <rowBreaks count="2" manualBreakCount="2">
    <brk id="45" max="16383" man="1"/>
    <brk id="68" min="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27651" r:id="rId5" name="Button 3">
              <controlPr defaultSize="0" print="0" autoFill="0" autoPict="0" macro="[0]!deletecpfinputs">
                <anchor>
                  <from>
                    <xdr:col>0</xdr:col>
                    <xdr:colOff>152400</xdr:colOff>
                    <xdr:row>16</xdr:row>
                    <xdr:rowOff>121920</xdr:rowOff>
                  </from>
                  <to>
                    <xdr:col>0</xdr:col>
                    <xdr:colOff>868680</xdr:colOff>
                    <xdr:row>20</xdr:row>
                    <xdr:rowOff>38100</xdr:rowOff>
                  </to>
                </anchor>
              </controlPr>
            </control>
          </mc:Choice>
        </mc:AlternateContent>
        <mc:AlternateContent xmlns:mc="http://schemas.openxmlformats.org/markup-compatibility/2006">
          <mc:Choice Requires="x14">
            <control shapeId="27652" r:id="rId6" name="Button 4">
              <controlPr defaultSize="0" print="0" autoFill="0" autoPict="0" macro="[0]!eight">
                <anchor>
                  <from>
                    <xdr:col>0</xdr:col>
                    <xdr:colOff>152400</xdr:colOff>
                    <xdr:row>21</xdr:row>
                    <xdr:rowOff>22860</xdr:rowOff>
                  </from>
                  <to>
                    <xdr:col>0</xdr:col>
                    <xdr:colOff>830580</xdr:colOff>
                    <xdr:row>24</xdr:row>
                    <xdr:rowOff>83820</xdr:rowOff>
                  </to>
                </anchor>
              </controlPr>
            </control>
          </mc:Choice>
        </mc:AlternateContent>
        <mc:AlternateContent xmlns:mc="http://schemas.openxmlformats.org/markup-compatibility/2006">
          <mc:Choice Requires="x14">
            <control shapeId="27653" r:id="rId7" name="Button 5">
              <controlPr defaultSize="0" print="0" autoFill="0" autoPict="0" macro="[0]!eleven">
                <anchor moveWithCells="1">
                  <from>
                    <xdr:col>0</xdr:col>
                    <xdr:colOff>160020</xdr:colOff>
                    <xdr:row>25</xdr:row>
                    <xdr:rowOff>38100</xdr:rowOff>
                  </from>
                  <to>
                    <xdr:col>0</xdr:col>
                    <xdr:colOff>845820</xdr:colOff>
                    <xdr:row>28</xdr:row>
                    <xdr:rowOff>38100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4">
    <tabColor theme="0" tint="-4.9989318521683403E-2"/>
  </sheetPr>
  <dimension ref="A1:L56"/>
  <sheetViews>
    <sheetView showGridLines="0" showRowColHeaders="0" zoomScaleNormal="100" workbookViewId="0">
      <selection activeCell="D5" sqref="D5"/>
    </sheetView>
  </sheetViews>
  <sheetFormatPr defaultColWidth="9.109375" defaultRowHeight="15" x14ac:dyDescent="0.25"/>
  <cols>
    <col min="1" max="1" width="13.6640625" style="203" customWidth="1"/>
    <col min="2" max="2" width="5.33203125" style="204" customWidth="1"/>
    <col min="3" max="3" width="9.109375" style="204"/>
    <col min="4" max="4" width="9.6640625" style="204" customWidth="1"/>
    <col min="5" max="5" width="21.44140625" style="204" customWidth="1"/>
    <col min="6" max="6" width="9.6640625" style="234" customWidth="1"/>
    <col min="7" max="7" width="3.5546875" style="204" customWidth="1"/>
    <col min="8" max="9" width="9.109375" style="204"/>
    <col min="10" max="10" width="9.6640625" style="234" customWidth="1"/>
    <col min="11" max="11" width="9.109375" style="204"/>
    <col min="12" max="12" width="9.88671875" style="204" bestFit="1" customWidth="1"/>
    <col min="13" max="16384" width="9.109375" style="204"/>
  </cols>
  <sheetData>
    <row r="1" spans="2:11" ht="19.2" customHeight="1" thickBot="1" x14ac:dyDescent="0.3"/>
    <row r="2" spans="2:11" ht="18" customHeight="1" thickBot="1" x14ac:dyDescent="0.35">
      <c r="B2" s="2463" t="s">
        <v>914</v>
      </c>
      <c r="C2" s="2464"/>
      <c r="D2" s="2464"/>
      <c r="E2" s="2464"/>
      <c r="F2" s="2464"/>
      <c r="G2" s="2464"/>
      <c r="H2" s="2464"/>
      <c r="I2" s="2464"/>
      <c r="J2" s="2464"/>
      <c r="K2" s="2465"/>
    </row>
    <row r="3" spans="2:11" ht="15.9" customHeight="1" thickBot="1" x14ac:dyDescent="0.3">
      <c r="B3" s="2530" t="s">
        <v>190</v>
      </c>
      <c r="C3" s="2531"/>
      <c r="D3" s="2531"/>
      <c r="E3" s="2531"/>
      <c r="F3" s="2531"/>
      <c r="G3" s="2531"/>
      <c r="H3" s="2531"/>
      <c r="I3" s="2531"/>
      <c r="J3" s="2531"/>
      <c r="K3" s="2532"/>
    </row>
    <row r="4" spans="2:11" ht="12.9" customHeight="1" x14ac:dyDescent="0.25">
      <c r="B4" s="221"/>
      <c r="C4" s="222"/>
      <c r="D4" s="222"/>
      <c r="E4" s="222"/>
      <c r="F4" s="235"/>
      <c r="G4" s="222"/>
      <c r="H4" s="222"/>
      <c r="I4" s="222"/>
      <c r="J4" s="235"/>
      <c r="K4" s="236"/>
    </row>
    <row r="5" spans="2:11" ht="12.9" customHeight="1" x14ac:dyDescent="0.25">
      <c r="B5" s="2533" t="s">
        <v>244</v>
      </c>
      <c r="C5" s="2534"/>
      <c r="D5" s="224"/>
      <c r="E5" s="224"/>
      <c r="F5" s="253"/>
      <c r="G5" s="224"/>
      <c r="H5" s="224" t="s">
        <v>731</v>
      </c>
      <c r="I5" s="224"/>
      <c r="J5" s="237"/>
      <c r="K5" s="238"/>
    </row>
    <row r="6" spans="2:11" ht="12.9" customHeight="1" x14ac:dyDescent="0.25">
      <c r="B6" s="223"/>
      <c r="C6" s="224"/>
      <c r="D6" s="224"/>
      <c r="E6" s="224"/>
      <c r="F6" s="237"/>
      <c r="G6" s="224"/>
      <c r="H6" s="224" t="s">
        <v>732</v>
      </c>
      <c r="I6" s="224"/>
      <c r="J6" s="253"/>
      <c r="K6" s="238"/>
    </row>
    <row r="7" spans="2:11" ht="12.9" customHeight="1" x14ac:dyDescent="0.25">
      <c r="B7" s="2533" t="s">
        <v>183</v>
      </c>
      <c r="C7" s="2534"/>
      <c r="D7" s="224"/>
      <c r="E7" s="224"/>
      <c r="F7" s="237"/>
      <c r="G7" s="224"/>
      <c r="H7" s="224" t="s">
        <v>733</v>
      </c>
      <c r="I7" s="224"/>
      <c r="J7" s="253"/>
      <c r="K7" s="238"/>
    </row>
    <row r="8" spans="2:11" ht="12.9" customHeight="1" x14ac:dyDescent="0.25">
      <c r="B8" s="223"/>
      <c r="C8" s="224" t="s">
        <v>180</v>
      </c>
      <c r="D8" s="224"/>
      <c r="E8" s="224"/>
      <c r="F8" s="253"/>
      <c r="G8" s="224"/>
      <c r="H8" s="224" t="s">
        <v>734</v>
      </c>
      <c r="I8" s="224"/>
      <c r="J8" s="253"/>
      <c r="K8" s="238"/>
    </row>
    <row r="9" spans="2:11" ht="12.9" customHeight="1" x14ac:dyDescent="0.25">
      <c r="B9" s="223"/>
      <c r="C9" s="224" t="s">
        <v>181</v>
      </c>
      <c r="D9" s="224"/>
      <c r="E9" s="224"/>
      <c r="F9" s="253"/>
      <c r="G9" s="224"/>
      <c r="H9" s="224" t="s">
        <v>735</v>
      </c>
      <c r="I9" s="224"/>
      <c r="J9" s="253"/>
      <c r="K9" s="238"/>
    </row>
    <row r="10" spans="2:11" ht="12.9" customHeight="1" x14ac:dyDescent="0.25">
      <c r="B10" s="2533" t="s">
        <v>182</v>
      </c>
      <c r="C10" s="2534"/>
      <c r="D10" s="224"/>
      <c r="E10" s="224"/>
      <c r="F10" s="237"/>
      <c r="G10" s="224"/>
      <c r="H10" s="224" t="s">
        <v>736</v>
      </c>
      <c r="I10" s="224"/>
      <c r="J10" s="253"/>
      <c r="K10" s="238"/>
    </row>
    <row r="11" spans="2:11" ht="12.9" customHeight="1" x14ac:dyDescent="0.25">
      <c r="B11" s="223"/>
      <c r="C11" s="224" t="s">
        <v>180</v>
      </c>
      <c r="D11" s="224"/>
      <c r="E11" s="224"/>
      <c r="F11" s="253"/>
      <c r="G11" s="224"/>
      <c r="H11" s="224" t="s">
        <v>737</v>
      </c>
      <c r="I11" s="224"/>
      <c r="J11" s="253"/>
      <c r="K11" s="238"/>
    </row>
    <row r="12" spans="2:11" ht="12.9" customHeight="1" x14ac:dyDescent="0.25">
      <c r="B12" s="223"/>
      <c r="C12" s="224" t="s">
        <v>181</v>
      </c>
      <c r="D12" s="224"/>
      <c r="E12" s="224"/>
      <c r="F12" s="253"/>
      <c r="G12" s="224"/>
      <c r="H12" s="224" t="s">
        <v>738</v>
      </c>
      <c r="I12" s="224"/>
      <c r="J12" s="253"/>
      <c r="K12" s="238"/>
    </row>
    <row r="13" spans="2:11" ht="12.9" customHeight="1" x14ac:dyDescent="0.25">
      <c r="B13" s="223" t="s">
        <v>178</v>
      </c>
      <c r="C13" s="224"/>
      <c r="D13" s="224"/>
      <c r="E13" s="224"/>
      <c r="F13" s="237"/>
      <c r="G13" s="224"/>
      <c r="H13" s="224" t="s">
        <v>739</v>
      </c>
      <c r="I13" s="224"/>
      <c r="J13" s="253"/>
      <c r="K13" s="238"/>
    </row>
    <row r="14" spans="2:11" ht="12.9" customHeight="1" x14ac:dyDescent="0.25">
      <c r="B14" s="223"/>
      <c r="C14" s="224" t="s">
        <v>184</v>
      </c>
      <c r="D14" s="224"/>
      <c r="E14" s="224"/>
      <c r="F14" s="253"/>
      <c r="G14" s="224"/>
      <c r="H14" s="224" t="s">
        <v>740</v>
      </c>
      <c r="I14" s="224"/>
      <c r="J14" s="253"/>
      <c r="K14" s="238"/>
    </row>
    <row r="15" spans="2:11" ht="12.9" customHeight="1" x14ac:dyDescent="0.25">
      <c r="B15" s="223"/>
      <c r="C15" s="224" t="s">
        <v>185</v>
      </c>
      <c r="D15" s="224"/>
      <c r="E15" s="224"/>
      <c r="F15" s="253"/>
      <c r="G15" s="224"/>
      <c r="H15" s="224" t="s">
        <v>741</v>
      </c>
      <c r="I15" s="224"/>
      <c r="J15" s="253"/>
      <c r="K15" s="238"/>
    </row>
    <row r="16" spans="2:11" ht="12.9" customHeight="1" x14ac:dyDescent="0.25">
      <c r="B16" s="223"/>
      <c r="C16" s="239" t="s">
        <v>174</v>
      </c>
      <c r="D16" s="224"/>
      <c r="E16" s="224"/>
      <c r="F16" s="253"/>
      <c r="G16" s="224"/>
      <c r="H16" s="224"/>
      <c r="I16" s="224"/>
      <c r="J16" s="237"/>
      <c r="K16" s="238"/>
    </row>
    <row r="17" spans="2:12" ht="12.9" customHeight="1" x14ac:dyDescent="0.25">
      <c r="B17" s="223" t="s">
        <v>80</v>
      </c>
      <c r="C17" s="224"/>
      <c r="D17" s="224"/>
      <c r="E17" s="224"/>
      <c r="F17" s="253"/>
      <c r="G17" s="224"/>
      <c r="H17" s="224" t="s">
        <v>742</v>
      </c>
      <c r="I17" s="224"/>
      <c r="J17" s="253"/>
      <c r="K17" s="238"/>
    </row>
    <row r="18" spans="2:12" ht="12.9" customHeight="1" x14ac:dyDescent="0.25">
      <c r="B18" s="223" t="s">
        <v>179</v>
      </c>
      <c r="C18" s="224"/>
      <c r="D18" s="224"/>
      <c r="E18" s="224"/>
      <c r="F18" s="237"/>
      <c r="G18" s="224"/>
      <c r="H18" s="224"/>
      <c r="I18" s="224"/>
      <c r="J18" s="240"/>
      <c r="K18" s="238"/>
    </row>
    <row r="19" spans="2:12" ht="12.9" customHeight="1" x14ac:dyDescent="0.25">
      <c r="B19" s="223"/>
      <c r="C19" s="224" t="s">
        <v>184</v>
      </c>
      <c r="D19" s="224"/>
      <c r="E19" s="224"/>
      <c r="F19" s="253"/>
      <c r="G19" s="224"/>
      <c r="H19" s="224" t="s">
        <v>667</v>
      </c>
      <c r="I19" s="224"/>
      <c r="J19" s="253"/>
      <c r="K19" s="238"/>
    </row>
    <row r="20" spans="2:12" ht="12.9" customHeight="1" x14ac:dyDescent="0.25">
      <c r="B20" s="223"/>
      <c r="C20" s="224" t="s">
        <v>185</v>
      </c>
      <c r="D20" s="224"/>
      <c r="E20" s="224"/>
      <c r="F20" s="253"/>
      <c r="G20" s="224"/>
      <c r="H20" s="224" t="s">
        <v>667</v>
      </c>
      <c r="I20" s="224"/>
      <c r="J20" s="253"/>
      <c r="K20" s="238"/>
    </row>
    <row r="21" spans="2:12" ht="12.9" customHeight="1" x14ac:dyDescent="0.25">
      <c r="B21" s="223"/>
      <c r="C21" s="2534" t="s">
        <v>174</v>
      </c>
      <c r="D21" s="2534"/>
      <c r="E21" s="224"/>
      <c r="F21" s="253"/>
      <c r="G21" s="224"/>
      <c r="H21" s="224" t="s">
        <v>667</v>
      </c>
      <c r="I21" s="224"/>
      <c r="J21" s="253"/>
      <c r="K21" s="238"/>
    </row>
    <row r="22" spans="2:12" ht="12.9" customHeight="1" x14ac:dyDescent="0.25">
      <c r="B22" s="223" t="s">
        <v>172</v>
      </c>
      <c r="C22" s="224"/>
      <c r="D22" s="224"/>
      <c r="E22" s="224"/>
      <c r="F22" s="237"/>
      <c r="G22" s="224"/>
      <c r="H22" s="224" t="s">
        <v>667</v>
      </c>
      <c r="I22" s="224"/>
      <c r="J22" s="253"/>
      <c r="K22" s="238"/>
    </row>
    <row r="23" spans="2:12" ht="12.9" customHeight="1" x14ac:dyDescent="0.25">
      <c r="B23" s="223"/>
      <c r="C23" s="224" t="s">
        <v>173</v>
      </c>
      <c r="D23" s="224"/>
      <c r="E23" s="224"/>
      <c r="F23" s="253"/>
      <c r="G23" s="224"/>
      <c r="H23" s="224" t="s">
        <v>667</v>
      </c>
      <c r="I23" s="224"/>
      <c r="J23" s="253"/>
      <c r="K23" s="238"/>
    </row>
    <row r="24" spans="2:12" ht="12.9" customHeight="1" x14ac:dyDescent="0.25">
      <c r="B24" s="223"/>
      <c r="C24" s="224" t="s">
        <v>81</v>
      </c>
      <c r="D24" s="224"/>
      <c r="E24" s="224"/>
      <c r="F24" s="253"/>
      <c r="G24" s="224"/>
      <c r="H24" s="224"/>
      <c r="I24" s="224"/>
      <c r="J24" s="237"/>
      <c r="K24" s="238"/>
    </row>
    <row r="25" spans="2:12" ht="12.9" customHeight="1" x14ac:dyDescent="0.25">
      <c r="B25" s="223" t="s">
        <v>720</v>
      </c>
      <c r="C25" s="224"/>
      <c r="D25" s="224"/>
      <c r="E25" s="224"/>
      <c r="F25" s="237"/>
      <c r="G25" s="224"/>
      <c r="H25" s="224"/>
      <c r="I25" s="224"/>
      <c r="J25" s="237"/>
      <c r="K25" s="238"/>
    </row>
    <row r="26" spans="2:12" ht="12.9" customHeight="1" x14ac:dyDescent="0.25">
      <c r="B26" s="223"/>
      <c r="C26" s="224" t="s">
        <v>173</v>
      </c>
      <c r="D26" s="224"/>
      <c r="E26" s="224"/>
      <c r="F26" s="253"/>
      <c r="G26" s="224"/>
      <c r="H26" s="224"/>
      <c r="I26" s="224"/>
      <c r="J26" s="237"/>
      <c r="K26" s="238"/>
      <c r="L26" s="431">
        <f>SUM(F5:H53)+(SUM(J6:J23))</f>
        <v>0</v>
      </c>
    </row>
    <row r="27" spans="2:12" ht="12.9" customHeight="1" x14ac:dyDescent="0.25">
      <c r="B27" s="223"/>
      <c r="C27" s="224" t="s">
        <v>81</v>
      </c>
      <c r="D27" s="224"/>
      <c r="E27" s="224"/>
      <c r="F27" s="253"/>
      <c r="G27" s="224"/>
      <c r="H27" s="224"/>
      <c r="I27" s="224"/>
      <c r="J27" s="237"/>
      <c r="K27" s="238"/>
    </row>
    <row r="28" spans="2:12" ht="12.9" customHeight="1" x14ac:dyDescent="0.25">
      <c r="B28" s="223" t="s">
        <v>187</v>
      </c>
      <c r="C28" s="224"/>
      <c r="D28" s="224"/>
      <c r="E28" s="224"/>
      <c r="F28" s="237"/>
      <c r="G28" s="224"/>
      <c r="H28" s="224"/>
      <c r="I28" s="224"/>
      <c r="J28" s="237"/>
      <c r="K28" s="238"/>
    </row>
    <row r="29" spans="2:12" ht="12.9" customHeight="1" x14ac:dyDescent="0.25">
      <c r="B29" s="223"/>
      <c r="C29" s="224" t="s">
        <v>188</v>
      </c>
      <c r="D29" s="224"/>
      <c r="E29" s="224"/>
      <c r="F29" s="254"/>
      <c r="G29" s="224"/>
      <c r="H29" s="224"/>
      <c r="I29" s="224"/>
      <c r="J29" s="237"/>
      <c r="K29" s="238"/>
    </row>
    <row r="30" spans="2:12" ht="12.9" customHeight="1" x14ac:dyDescent="0.25">
      <c r="B30" s="223" t="s">
        <v>983</v>
      </c>
      <c r="C30" s="224"/>
      <c r="D30" s="224"/>
      <c r="E30" s="224"/>
      <c r="F30" s="2527"/>
      <c r="G30" s="2528"/>
      <c r="H30" s="2529"/>
      <c r="I30" s="224"/>
      <c r="J30" s="237"/>
      <c r="K30" s="238"/>
    </row>
    <row r="31" spans="2:12" ht="12.9" customHeight="1" x14ac:dyDescent="0.25">
      <c r="B31" s="223"/>
      <c r="C31" s="224" t="s">
        <v>184</v>
      </c>
      <c r="D31" s="224"/>
      <c r="E31" s="224"/>
      <c r="F31" s="255"/>
      <c r="G31" s="224"/>
      <c r="H31" s="224"/>
      <c r="I31" s="224"/>
      <c r="J31" s="237"/>
      <c r="K31" s="238"/>
    </row>
    <row r="32" spans="2:12" ht="12.9" customHeight="1" x14ac:dyDescent="0.25">
      <c r="B32" s="331" t="s">
        <v>175</v>
      </c>
      <c r="C32" s="224"/>
      <c r="D32" s="224"/>
      <c r="E32" s="224"/>
      <c r="F32" s="237"/>
      <c r="G32" s="224"/>
      <c r="H32" s="224"/>
      <c r="I32" s="224"/>
      <c r="J32" s="237"/>
      <c r="K32" s="238"/>
    </row>
    <row r="33" spans="2:11" ht="12.9" customHeight="1" x14ac:dyDescent="0.25">
      <c r="B33" s="331"/>
      <c r="C33" s="224" t="s">
        <v>721</v>
      </c>
      <c r="D33" s="224"/>
      <c r="E33" s="224"/>
      <c r="F33" s="237"/>
      <c r="G33" s="224"/>
      <c r="H33" s="224"/>
      <c r="I33" s="224"/>
      <c r="J33" s="237"/>
      <c r="K33" s="238"/>
    </row>
    <row r="34" spans="2:11" ht="12.9" customHeight="1" x14ac:dyDescent="0.25">
      <c r="B34" s="223"/>
      <c r="C34" s="332" t="s">
        <v>176</v>
      </c>
      <c r="D34" s="224"/>
      <c r="E34" s="224"/>
      <c r="F34" s="253"/>
      <c r="G34" s="224"/>
      <c r="H34" s="224"/>
      <c r="I34" s="224"/>
      <c r="J34" s="237"/>
      <c r="K34" s="238"/>
    </row>
    <row r="35" spans="2:11" ht="12.9" customHeight="1" x14ac:dyDescent="0.25">
      <c r="B35" s="223" t="s">
        <v>977</v>
      </c>
      <c r="C35" s="224"/>
      <c r="D35" s="224"/>
      <c r="E35" s="224"/>
      <c r="F35" s="253"/>
      <c r="G35" s="224"/>
      <c r="H35" s="224"/>
      <c r="I35" s="224"/>
      <c r="J35" s="237"/>
      <c r="K35" s="238"/>
    </row>
    <row r="36" spans="2:11" ht="12.9" customHeight="1" x14ac:dyDescent="0.25">
      <c r="B36" s="223" t="s">
        <v>978</v>
      </c>
      <c r="C36" s="224"/>
      <c r="D36" s="224"/>
      <c r="E36" s="224"/>
      <c r="F36" s="253"/>
      <c r="G36" s="224"/>
      <c r="H36" s="224"/>
      <c r="I36" s="224"/>
      <c r="J36" s="237"/>
      <c r="K36" s="238"/>
    </row>
    <row r="37" spans="2:11" ht="12.9" customHeight="1" x14ac:dyDescent="0.25">
      <c r="B37" s="223" t="s">
        <v>189</v>
      </c>
      <c r="C37" s="224"/>
      <c r="D37" s="224"/>
      <c r="E37" s="224"/>
      <c r="F37" s="237"/>
      <c r="G37" s="224"/>
      <c r="H37" s="224"/>
      <c r="I37" s="224"/>
      <c r="J37" s="237"/>
      <c r="K37" s="238"/>
    </row>
    <row r="38" spans="2:11" ht="12.9" customHeight="1" x14ac:dyDescent="0.25">
      <c r="B38" s="223"/>
      <c r="C38" s="224" t="s">
        <v>433</v>
      </c>
      <c r="D38" s="224"/>
      <c r="E38" s="224"/>
      <c r="F38" s="253"/>
      <c r="G38" s="224"/>
      <c r="H38" s="224"/>
      <c r="I38" s="224"/>
      <c r="J38" s="237"/>
      <c r="K38" s="238"/>
    </row>
    <row r="39" spans="2:11" ht="12.9" customHeight="1" x14ac:dyDescent="0.25">
      <c r="B39" s="223" t="s">
        <v>393</v>
      </c>
      <c r="C39" s="224"/>
      <c r="D39" s="224"/>
      <c r="E39" s="224"/>
      <c r="F39" s="237"/>
      <c r="G39" s="224"/>
      <c r="H39" s="224"/>
      <c r="I39" s="224"/>
      <c r="J39" s="237"/>
      <c r="K39" s="238"/>
    </row>
    <row r="40" spans="2:11" ht="12.9" customHeight="1" x14ac:dyDescent="0.25">
      <c r="B40" s="223"/>
      <c r="C40" s="224" t="s">
        <v>177</v>
      </c>
      <c r="D40" s="224"/>
      <c r="E40" s="224"/>
      <c r="F40" s="253"/>
      <c r="G40" s="224"/>
      <c r="H40" s="224"/>
      <c r="I40" s="224"/>
      <c r="J40" s="237"/>
      <c r="K40" s="238"/>
    </row>
    <row r="41" spans="2:11" ht="12.9" customHeight="1" x14ac:dyDescent="0.25">
      <c r="B41" s="223" t="s">
        <v>722</v>
      </c>
      <c r="C41" s="224"/>
      <c r="D41" s="224"/>
      <c r="E41" s="224"/>
      <c r="F41" s="237"/>
      <c r="G41" s="224"/>
      <c r="H41" s="224"/>
      <c r="I41" s="224"/>
      <c r="J41" s="237"/>
      <c r="K41" s="238"/>
    </row>
    <row r="42" spans="2:11" ht="12.9" customHeight="1" x14ac:dyDescent="0.25">
      <c r="B42" s="223"/>
      <c r="C42" s="239" t="s">
        <v>41</v>
      </c>
      <c r="D42" s="224"/>
      <c r="E42" s="224"/>
      <c r="F42" s="253"/>
      <c r="G42" s="224"/>
      <c r="H42" s="224"/>
      <c r="I42" s="224"/>
      <c r="J42" s="237"/>
      <c r="K42" s="238"/>
    </row>
    <row r="43" spans="2:11" ht="12.9" customHeight="1" x14ac:dyDescent="0.25">
      <c r="B43" s="223" t="s">
        <v>723</v>
      </c>
      <c r="C43" s="224"/>
      <c r="D43" s="224"/>
      <c r="E43" s="224"/>
      <c r="F43" s="237"/>
      <c r="G43" s="224"/>
      <c r="H43" s="224"/>
      <c r="I43" s="224"/>
      <c r="J43" s="237"/>
      <c r="K43" s="238"/>
    </row>
    <row r="44" spans="2:11" ht="12.9" customHeight="1" x14ac:dyDescent="0.25">
      <c r="B44" s="223"/>
      <c r="C44" s="239" t="s">
        <v>176</v>
      </c>
      <c r="D44" s="224"/>
      <c r="E44" s="224"/>
      <c r="F44" s="253"/>
      <c r="G44" s="224"/>
      <c r="H44" s="224"/>
      <c r="I44" s="224"/>
      <c r="J44" s="237"/>
      <c r="K44" s="238"/>
    </row>
    <row r="45" spans="2:11" ht="12.9" customHeight="1" x14ac:dyDescent="0.25">
      <c r="B45" s="223"/>
      <c r="C45" s="239" t="s">
        <v>724</v>
      </c>
      <c r="D45" s="224"/>
      <c r="E45" s="224"/>
      <c r="F45" s="253"/>
      <c r="G45" s="224"/>
      <c r="H45" s="224"/>
      <c r="I45" s="224"/>
      <c r="J45" s="237"/>
      <c r="K45" s="238"/>
    </row>
    <row r="46" spans="2:11" ht="12.9" customHeight="1" x14ac:dyDescent="0.25">
      <c r="B46" s="223"/>
      <c r="C46" s="239" t="s">
        <v>725</v>
      </c>
      <c r="D46" s="224"/>
      <c r="E46" s="224"/>
      <c r="F46" s="253"/>
      <c r="G46" s="224"/>
      <c r="H46" s="224"/>
      <c r="I46" s="224"/>
      <c r="J46" s="237"/>
      <c r="K46" s="238"/>
    </row>
    <row r="47" spans="2:11" ht="12.9" customHeight="1" x14ac:dyDescent="0.25">
      <c r="B47" s="223" t="s">
        <v>726</v>
      </c>
      <c r="C47" s="224"/>
      <c r="D47" s="224"/>
      <c r="E47" s="224"/>
      <c r="F47" s="237"/>
      <c r="G47" s="224"/>
      <c r="H47" s="224"/>
      <c r="I47" s="224"/>
      <c r="J47" s="237"/>
      <c r="K47" s="238"/>
    </row>
    <row r="48" spans="2:11" ht="12.9" customHeight="1" x14ac:dyDescent="0.25">
      <c r="B48" s="223"/>
      <c r="C48" s="239" t="s">
        <v>727</v>
      </c>
      <c r="D48" s="224"/>
      <c r="E48" s="224"/>
      <c r="F48" s="253"/>
      <c r="G48" s="224"/>
      <c r="H48" s="224"/>
      <c r="I48" s="224"/>
      <c r="J48" s="237"/>
      <c r="K48" s="238"/>
    </row>
    <row r="49" spans="2:11" ht="12.9" customHeight="1" x14ac:dyDescent="0.25">
      <c r="B49" s="223"/>
      <c r="C49" s="239" t="s">
        <v>728</v>
      </c>
      <c r="D49" s="224"/>
      <c r="E49" s="224"/>
      <c r="F49" s="253"/>
      <c r="G49" s="224"/>
      <c r="H49" s="224"/>
      <c r="I49" s="224"/>
      <c r="J49" s="237"/>
      <c r="K49" s="238"/>
    </row>
    <row r="50" spans="2:11" ht="12.9" customHeight="1" x14ac:dyDescent="0.25">
      <c r="B50" s="223" t="s">
        <v>729</v>
      </c>
      <c r="C50" s="224"/>
      <c r="D50" s="224"/>
      <c r="E50" s="224"/>
      <c r="F50" s="237"/>
      <c r="G50" s="224"/>
      <c r="H50" s="224"/>
      <c r="I50" s="224"/>
      <c r="J50" s="237"/>
      <c r="K50" s="238"/>
    </row>
    <row r="51" spans="2:11" ht="12.9" customHeight="1" x14ac:dyDescent="0.25">
      <c r="B51" s="223"/>
      <c r="C51" s="239" t="s">
        <v>727</v>
      </c>
      <c r="D51" s="224"/>
      <c r="E51" s="224"/>
      <c r="F51" s="253"/>
      <c r="G51" s="224"/>
      <c r="H51" s="224"/>
      <c r="I51" s="224"/>
      <c r="J51" s="237"/>
      <c r="K51" s="238"/>
    </row>
    <row r="52" spans="2:11" ht="12.9" customHeight="1" x14ac:dyDescent="0.25">
      <c r="B52" s="223"/>
      <c r="C52" s="239" t="s">
        <v>728</v>
      </c>
      <c r="D52" s="224"/>
      <c r="E52" s="224"/>
      <c r="F52" s="253"/>
      <c r="G52" s="224"/>
      <c r="H52" s="224"/>
      <c r="I52" s="224"/>
      <c r="J52" s="237"/>
      <c r="K52" s="238"/>
    </row>
    <row r="53" spans="2:11" ht="12.9" customHeight="1" x14ac:dyDescent="0.25">
      <c r="B53" s="223" t="s">
        <v>730</v>
      </c>
      <c r="C53" s="224"/>
      <c r="D53" s="224"/>
      <c r="E53" s="224"/>
      <c r="F53" s="253"/>
      <c r="G53" s="224"/>
      <c r="H53" s="224"/>
      <c r="I53" s="224"/>
      <c r="J53" s="237"/>
      <c r="K53" s="238"/>
    </row>
    <row r="54" spans="2:11" ht="12.9" customHeight="1" x14ac:dyDescent="0.25">
      <c r="B54" s="223"/>
      <c r="C54" s="224"/>
      <c r="D54" s="224"/>
      <c r="E54" s="224"/>
      <c r="F54" s="237"/>
      <c r="G54" s="224"/>
      <c r="H54" s="224"/>
      <c r="I54" s="224"/>
      <c r="J54" s="237"/>
      <c r="K54" s="238"/>
    </row>
    <row r="55" spans="2:11" ht="12.9" customHeight="1" thickBot="1" x14ac:dyDescent="0.3">
      <c r="B55" s="226"/>
      <c r="C55" s="241"/>
      <c r="D55" s="241"/>
      <c r="E55" s="241"/>
      <c r="F55" s="242"/>
      <c r="G55" s="241"/>
      <c r="H55" s="241"/>
      <c r="I55" s="241"/>
      <c r="J55" s="242"/>
      <c r="K55" s="243"/>
    </row>
    <row r="56" spans="2:11" ht="12.9" customHeight="1" x14ac:dyDescent="0.25">
      <c r="B56" s="250"/>
      <c r="C56" s="250"/>
      <c r="D56" s="250"/>
      <c r="E56" s="250"/>
      <c r="F56" s="251"/>
      <c r="G56" s="250"/>
      <c r="H56" s="250"/>
      <c r="I56" s="250"/>
      <c r="J56" s="251"/>
      <c r="K56" s="250"/>
    </row>
  </sheetData>
  <sheetProtection algorithmName="SHA-512" hashValue="HjZRwzaj9FPKDAQWL5M+mnsw+bmeRJ/5Kb79V++lowH1LBagYpqMaJF/HE2AjeSm5acXysOlhGt1dvAdISsXcw==" saltValue="eW7CXCeYqKZUK8jlkZ9pBg==" spinCount="100000" sheet="1" objects="1" scenarios="1" selectLockedCells="1"/>
  <protectedRanges>
    <protectedRange sqref="F5 F8 F9 F11 F12 F14 F15 F16 F17 F19 F20 F21 F23 F24 F26 F27 F29 F30:H30 F31 J6:J15 J17 J19:J23 F34 F35 F36 F38 F40 F42 F44 F45 F46 F48 F49 F51 F52 F53" name="Range2"/>
  </protectedRanges>
  <customSheetViews>
    <customSheetView guid="{BC429C65-53B8-4F97-88D2-74ECCD734800}" showGridLines="0" showRowCol="0">
      <selection activeCell="F5" sqref="F5"/>
      <pageMargins left="0.25" right="0.25" top="0.75" bottom="1" header="0" footer="0"/>
      <printOptions horizontalCentered="1"/>
      <pageSetup orientation="portrait" r:id="rId1"/>
      <headerFooter alignWithMargins="0">
        <oddHeader>&amp;RCP</oddHeader>
        <oddFooter>&amp;LADEM Form 318 07/2012</oddFooter>
      </headerFooter>
    </customSheetView>
  </customSheetViews>
  <mergeCells count="7">
    <mergeCell ref="F30:H30"/>
    <mergeCell ref="B2:K2"/>
    <mergeCell ref="B3:K3"/>
    <mergeCell ref="B5:C5"/>
    <mergeCell ref="B7:C7"/>
    <mergeCell ref="B10:C10"/>
    <mergeCell ref="C21:D21"/>
  </mergeCells>
  <phoneticPr fontId="21" type="noConversion"/>
  <printOptions horizontalCentered="1"/>
  <pageMargins left="0.5" right="0.5" top="0.75" bottom="1" header="0" footer="0"/>
  <pageSetup scale="97" orientation="portrait" r:id="rId2"/>
  <headerFooter alignWithMargins="0">
    <oddHeader>&amp;RCP</oddHeader>
    <oddFooter>&amp;LADEM Form 31 DRAFT &amp;C 2/2023&amp;R*M6 DRAFT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0481" r:id="rId5" name="Button 1">
              <controlPr defaultSize="0" print="0" autoFill="0" autoPict="0" macro="[0]!deletecpGinputs">
                <anchor>
                  <from>
                    <xdr:col>0</xdr:col>
                    <xdr:colOff>121920</xdr:colOff>
                    <xdr:row>17</xdr:row>
                    <xdr:rowOff>137160</xdr:rowOff>
                  </from>
                  <to>
                    <xdr:col>0</xdr:col>
                    <xdr:colOff>784860</xdr:colOff>
                    <xdr:row>21</xdr:row>
                    <xdr:rowOff>137160</xdr:rowOff>
                  </to>
                </anchor>
              </controlPr>
            </control>
          </mc:Choice>
        </mc:AlternateContent>
        <mc:AlternateContent xmlns:mc="http://schemas.openxmlformats.org/markup-compatibility/2006">
          <mc:Choice Requires="x14">
            <control shapeId="20482" r:id="rId6" name="Button 2">
              <controlPr defaultSize="0" print="0" autoFill="0" autoPict="0" macro="[0]!eight">
                <anchor moveWithCells="1">
                  <from>
                    <xdr:col>0</xdr:col>
                    <xdr:colOff>121920</xdr:colOff>
                    <xdr:row>12</xdr:row>
                    <xdr:rowOff>60960</xdr:rowOff>
                  </from>
                  <to>
                    <xdr:col>0</xdr:col>
                    <xdr:colOff>800100</xdr:colOff>
                    <xdr:row>16</xdr:row>
                    <xdr:rowOff>99060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5">
    <tabColor rgb="FFFF7C80"/>
    <pageSetUpPr fitToPage="1"/>
  </sheetPr>
  <dimension ref="A1:L56"/>
  <sheetViews>
    <sheetView showGridLines="0" showRowColHeaders="0" zoomScaleNormal="100" workbookViewId="0">
      <pane xSplit="1" ySplit="1" topLeftCell="B2" activePane="bottomRight" state="frozen"/>
      <selection activeCell="B17" sqref="B17:J18"/>
      <selection pane="topRight" activeCell="B17" sqref="B17:J18"/>
      <selection pane="bottomLeft" activeCell="B17" sqref="B17:J18"/>
      <selection pane="bottomRight" activeCell="B17" sqref="B17:J18"/>
    </sheetView>
  </sheetViews>
  <sheetFormatPr defaultColWidth="9.109375" defaultRowHeight="13.2" x14ac:dyDescent="0.25"/>
  <cols>
    <col min="1" max="1" width="13.6640625" style="103" customWidth="1"/>
    <col min="2" max="2" width="5.33203125" style="104" customWidth="1"/>
    <col min="3" max="3" width="9.109375" style="104"/>
    <col min="4" max="4" width="24.6640625" style="104" customWidth="1"/>
    <col min="5" max="5" width="1" style="104" customWidth="1"/>
    <col min="6" max="6" width="11.109375" style="104" customWidth="1"/>
    <col min="7" max="7" width="4.5546875" style="104" customWidth="1"/>
    <col min="8" max="9" width="9.109375" style="104"/>
    <col min="10" max="10" width="10.88671875" style="104" customWidth="1"/>
    <col min="11" max="16384" width="9.109375" style="104"/>
  </cols>
  <sheetData>
    <row r="1" spans="2:11" ht="13.8" thickBot="1" x14ac:dyDescent="0.3"/>
    <row r="2" spans="2:11" ht="16.2" thickBot="1" x14ac:dyDescent="0.35">
      <c r="B2" s="2535" t="s">
        <v>1005</v>
      </c>
      <c r="C2" s="2536"/>
      <c r="D2" s="2536"/>
      <c r="E2" s="2536"/>
      <c r="F2" s="2536"/>
      <c r="G2" s="2536"/>
      <c r="H2" s="2536"/>
      <c r="I2" s="2536"/>
      <c r="J2" s="2536"/>
      <c r="K2" s="2537"/>
    </row>
    <row r="3" spans="2:11" ht="18" customHeight="1" thickBot="1" x14ac:dyDescent="0.3">
      <c r="B3" s="2538" t="s">
        <v>1006</v>
      </c>
      <c r="C3" s="2539"/>
      <c r="D3" s="2539"/>
      <c r="E3" s="2539"/>
      <c r="F3" s="2539"/>
      <c r="G3" s="2539"/>
      <c r="H3" s="2539"/>
      <c r="I3" s="2539"/>
      <c r="J3" s="2539"/>
      <c r="K3" s="2540"/>
    </row>
    <row r="4" spans="2:11" x14ac:dyDescent="0.25">
      <c r="B4" s="109"/>
      <c r="C4" s="110"/>
      <c r="D4" s="110"/>
      <c r="E4" s="110"/>
      <c r="F4" s="146"/>
      <c r="G4" s="110"/>
      <c r="H4" s="110"/>
      <c r="I4" s="110"/>
      <c r="J4" s="146"/>
      <c r="K4" s="145"/>
    </row>
    <row r="5" spans="2:11" x14ac:dyDescent="0.25">
      <c r="B5" s="2310" t="s">
        <v>244</v>
      </c>
      <c r="C5" s="2312"/>
      <c r="D5" s="107"/>
      <c r="E5" s="107"/>
      <c r="F5" s="253"/>
      <c r="G5" s="107"/>
      <c r="H5" s="116" t="s">
        <v>731</v>
      </c>
      <c r="I5" s="107"/>
      <c r="J5" s="143"/>
      <c r="K5" s="121"/>
    </row>
    <row r="6" spans="2:11" x14ac:dyDescent="0.25">
      <c r="B6" s="106"/>
      <c r="C6" s="107"/>
      <c r="D6" s="107"/>
      <c r="E6" s="107"/>
      <c r="F6" s="143"/>
      <c r="G6" s="107"/>
      <c r="H6" s="116" t="s">
        <v>732</v>
      </c>
      <c r="I6" s="107"/>
      <c r="J6" s="253"/>
      <c r="K6" s="121"/>
    </row>
    <row r="7" spans="2:11" x14ac:dyDescent="0.25">
      <c r="B7" s="2310" t="s">
        <v>183</v>
      </c>
      <c r="C7" s="2312"/>
      <c r="D7" s="107"/>
      <c r="E7" s="107"/>
      <c r="F7" s="143"/>
      <c r="G7" s="107"/>
      <c r="H7" s="116" t="s">
        <v>733</v>
      </c>
      <c r="I7" s="107"/>
      <c r="J7" s="253"/>
      <c r="K7" s="121"/>
    </row>
    <row r="8" spans="2:11" x14ac:dyDescent="0.25">
      <c r="B8" s="106"/>
      <c r="C8" s="116" t="s">
        <v>180</v>
      </c>
      <c r="D8" s="107"/>
      <c r="E8" s="107"/>
      <c r="F8" s="253"/>
      <c r="G8" s="107"/>
      <c r="H8" s="116" t="s">
        <v>734</v>
      </c>
      <c r="I8" s="107"/>
      <c r="J8" s="253"/>
      <c r="K8" s="121"/>
    </row>
    <row r="9" spans="2:11" x14ac:dyDescent="0.25">
      <c r="B9" s="106"/>
      <c r="C9" s="116" t="s">
        <v>181</v>
      </c>
      <c r="D9" s="107"/>
      <c r="E9" s="107"/>
      <c r="F9" s="253"/>
      <c r="G9" s="107"/>
      <c r="H9" s="116" t="s">
        <v>735</v>
      </c>
      <c r="I9" s="107"/>
      <c r="J9" s="253"/>
      <c r="K9" s="121"/>
    </row>
    <row r="10" spans="2:11" x14ac:dyDescent="0.25">
      <c r="B10" s="2310" t="s">
        <v>182</v>
      </c>
      <c r="C10" s="2541"/>
      <c r="D10" s="107"/>
      <c r="E10" s="107"/>
      <c r="F10" s="143"/>
      <c r="G10" s="107"/>
      <c r="H10" s="116" t="s">
        <v>736</v>
      </c>
      <c r="I10" s="107"/>
      <c r="J10" s="253"/>
      <c r="K10" s="121"/>
    </row>
    <row r="11" spans="2:11" x14ac:dyDescent="0.25">
      <c r="B11" s="106"/>
      <c r="C11" s="116" t="s">
        <v>180</v>
      </c>
      <c r="D11" s="107"/>
      <c r="E11" s="107"/>
      <c r="F11" s="253"/>
      <c r="G11" s="107"/>
      <c r="H11" s="116" t="s">
        <v>737</v>
      </c>
      <c r="I11" s="107"/>
      <c r="J11" s="253"/>
      <c r="K11" s="121"/>
    </row>
    <row r="12" spans="2:11" x14ac:dyDescent="0.25">
      <c r="B12" s="106"/>
      <c r="C12" s="116" t="s">
        <v>181</v>
      </c>
      <c r="D12" s="107"/>
      <c r="E12" s="107"/>
      <c r="F12" s="253"/>
      <c r="G12" s="107"/>
      <c r="H12" s="116" t="s">
        <v>738</v>
      </c>
      <c r="I12" s="107"/>
      <c r="J12" s="253"/>
      <c r="K12" s="121"/>
    </row>
    <row r="13" spans="2:11" x14ac:dyDescent="0.25">
      <c r="B13" s="108" t="s">
        <v>178</v>
      </c>
      <c r="C13" s="107"/>
      <c r="D13" s="107"/>
      <c r="E13" s="107"/>
      <c r="F13" s="143"/>
      <c r="G13" s="107"/>
      <c r="H13" s="116" t="s">
        <v>739</v>
      </c>
      <c r="I13" s="107"/>
      <c r="J13" s="253"/>
      <c r="K13" s="121"/>
    </row>
    <row r="14" spans="2:11" x14ac:dyDescent="0.25">
      <c r="B14" s="106"/>
      <c r="C14" s="116" t="s">
        <v>184</v>
      </c>
      <c r="D14" s="107"/>
      <c r="E14" s="107"/>
      <c r="F14" s="253"/>
      <c r="G14" s="107"/>
      <c r="H14" s="116" t="s">
        <v>740</v>
      </c>
      <c r="I14" s="107"/>
      <c r="J14" s="253"/>
      <c r="K14" s="121"/>
    </row>
    <row r="15" spans="2:11" x14ac:dyDescent="0.25">
      <c r="B15" s="106"/>
      <c r="C15" s="116" t="s">
        <v>185</v>
      </c>
      <c r="D15" s="107"/>
      <c r="E15" s="107"/>
      <c r="F15" s="253"/>
      <c r="G15" s="107"/>
      <c r="H15" s="116" t="s">
        <v>741</v>
      </c>
      <c r="I15" s="107"/>
      <c r="J15" s="253"/>
      <c r="K15" s="121"/>
    </row>
    <row r="16" spans="2:11" x14ac:dyDescent="0.25">
      <c r="B16" s="106"/>
      <c r="C16" s="117" t="s">
        <v>174</v>
      </c>
      <c r="D16" s="107"/>
      <c r="E16" s="107"/>
      <c r="F16" s="253"/>
      <c r="G16" s="107"/>
      <c r="H16" s="107"/>
      <c r="I16" s="107"/>
      <c r="J16" s="143"/>
      <c r="K16" s="121"/>
    </row>
    <row r="17" spans="2:12" x14ac:dyDescent="0.25">
      <c r="B17" s="106" t="s">
        <v>80</v>
      </c>
      <c r="C17" s="116"/>
      <c r="D17" s="107"/>
      <c r="E17" s="107"/>
      <c r="F17" s="253"/>
      <c r="G17" s="107"/>
      <c r="H17" s="107" t="s">
        <v>742</v>
      </c>
      <c r="I17" s="107"/>
      <c r="J17" s="253"/>
      <c r="K17" s="121"/>
    </row>
    <row r="18" spans="2:12" x14ac:dyDescent="0.25">
      <c r="B18" s="108" t="s">
        <v>179</v>
      </c>
      <c r="C18" s="116"/>
      <c r="D18" s="116"/>
      <c r="E18" s="107"/>
      <c r="F18" s="143"/>
      <c r="G18" s="107"/>
      <c r="H18" s="107"/>
      <c r="I18" s="107"/>
      <c r="J18" s="147"/>
      <c r="K18" s="121"/>
    </row>
    <row r="19" spans="2:12" x14ac:dyDescent="0.25">
      <c r="B19" s="106"/>
      <c r="C19" s="116" t="s">
        <v>184</v>
      </c>
      <c r="D19" s="107"/>
      <c r="E19" s="107"/>
      <c r="F19" s="253"/>
      <c r="G19" s="107"/>
      <c r="H19" s="116" t="s">
        <v>667</v>
      </c>
      <c r="I19" s="107"/>
      <c r="J19" s="253"/>
      <c r="K19" s="121"/>
    </row>
    <row r="20" spans="2:12" x14ac:dyDescent="0.25">
      <c r="B20" s="106"/>
      <c r="C20" s="116" t="s">
        <v>185</v>
      </c>
      <c r="D20" s="107"/>
      <c r="E20" s="107"/>
      <c r="F20" s="253"/>
      <c r="G20" s="107"/>
      <c r="H20" s="116" t="s">
        <v>667</v>
      </c>
      <c r="I20" s="107"/>
      <c r="J20" s="253"/>
      <c r="K20" s="121"/>
    </row>
    <row r="21" spans="2:12" x14ac:dyDescent="0.25">
      <c r="B21" s="106"/>
      <c r="C21" s="2312" t="s">
        <v>174</v>
      </c>
      <c r="D21" s="2312"/>
      <c r="E21" s="107"/>
      <c r="F21" s="253"/>
      <c r="G21" s="107"/>
      <c r="H21" s="116" t="s">
        <v>667</v>
      </c>
      <c r="I21" s="107"/>
      <c r="J21" s="253"/>
      <c r="K21" s="121"/>
    </row>
    <row r="22" spans="2:12" x14ac:dyDescent="0.25">
      <c r="B22" s="106" t="s">
        <v>172</v>
      </c>
      <c r="C22" s="116"/>
      <c r="D22" s="107"/>
      <c r="E22" s="107"/>
      <c r="F22" s="143"/>
      <c r="G22" s="107"/>
      <c r="H22" s="116" t="s">
        <v>667</v>
      </c>
      <c r="I22" s="107"/>
      <c r="J22" s="253"/>
      <c r="K22" s="121"/>
    </row>
    <row r="23" spans="2:12" x14ac:dyDescent="0.25">
      <c r="B23" s="106"/>
      <c r="C23" s="116" t="s">
        <v>173</v>
      </c>
      <c r="D23" s="107"/>
      <c r="E23" s="107"/>
      <c r="F23" s="253"/>
      <c r="G23" s="107"/>
      <c r="H23" s="116" t="s">
        <v>667</v>
      </c>
      <c r="I23" s="107"/>
      <c r="J23" s="253"/>
      <c r="K23" s="121"/>
    </row>
    <row r="24" spans="2:12" x14ac:dyDescent="0.25">
      <c r="B24" s="106"/>
      <c r="C24" s="116" t="s">
        <v>81</v>
      </c>
      <c r="D24" s="107"/>
      <c r="E24" s="107"/>
      <c r="F24" s="253"/>
      <c r="G24" s="107"/>
      <c r="H24" s="107"/>
      <c r="I24" s="107"/>
      <c r="J24" s="143"/>
      <c r="K24" s="121"/>
    </row>
    <row r="25" spans="2:12" x14ac:dyDescent="0.25">
      <c r="B25" s="108" t="s">
        <v>720</v>
      </c>
      <c r="C25" s="116"/>
      <c r="D25" s="138"/>
      <c r="E25" s="107"/>
      <c r="F25" s="143"/>
      <c r="G25" s="107"/>
      <c r="H25" s="107"/>
      <c r="I25" s="107"/>
      <c r="J25" s="143"/>
      <c r="K25" s="121"/>
    </row>
    <row r="26" spans="2:12" x14ac:dyDescent="0.25">
      <c r="B26" s="106"/>
      <c r="C26" s="116" t="s">
        <v>173</v>
      </c>
      <c r="D26" s="107"/>
      <c r="E26" s="107"/>
      <c r="F26" s="253"/>
      <c r="G26" s="107"/>
      <c r="H26" s="107"/>
      <c r="I26" s="107"/>
      <c r="J26" s="143"/>
      <c r="K26" s="121"/>
      <c r="L26" s="430">
        <f>SUM(F5:H53)+(SUM(J6:J23))</f>
        <v>0</v>
      </c>
    </row>
    <row r="27" spans="2:12" x14ac:dyDescent="0.25">
      <c r="B27" s="106"/>
      <c r="C27" s="116" t="s">
        <v>81</v>
      </c>
      <c r="D27" s="107"/>
      <c r="E27" s="107"/>
      <c r="F27" s="253"/>
      <c r="G27" s="107"/>
      <c r="H27" s="107"/>
      <c r="I27" s="107"/>
      <c r="J27" s="143"/>
      <c r="K27" s="121"/>
    </row>
    <row r="28" spans="2:12" x14ac:dyDescent="0.25">
      <c r="B28" s="108" t="s">
        <v>187</v>
      </c>
      <c r="C28" s="107"/>
      <c r="D28" s="107"/>
      <c r="E28" s="107"/>
      <c r="F28" s="143"/>
      <c r="G28" s="107"/>
      <c r="H28" s="107"/>
      <c r="I28" s="107"/>
      <c r="J28" s="143"/>
      <c r="K28" s="121"/>
    </row>
    <row r="29" spans="2:12" x14ac:dyDescent="0.25">
      <c r="B29" s="106"/>
      <c r="C29" s="116" t="s">
        <v>188</v>
      </c>
      <c r="D29" s="107"/>
      <c r="E29" s="107"/>
      <c r="F29" s="254"/>
      <c r="G29" s="107"/>
      <c r="H29" s="107"/>
      <c r="I29" s="107"/>
      <c r="J29" s="143"/>
      <c r="K29" s="121"/>
    </row>
    <row r="30" spans="2:12" x14ac:dyDescent="0.25">
      <c r="B30" s="2310" t="s">
        <v>983</v>
      </c>
      <c r="C30" s="2312"/>
      <c r="D30" s="2312"/>
      <c r="E30" s="107"/>
      <c r="F30" s="2527"/>
      <c r="G30" s="2528"/>
      <c r="H30" s="2529"/>
      <c r="I30" s="107"/>
      <c r="J30" s="143"/>
      <c r="K30" s="121"/>
    </row>
    <row r="31" spans="2:12" x14ac:dyDescent="0.25">
      <c r="B31" s="106"/>
      <c r="C31" s="116" t="s">
        <v>184</v>
      </c>
      <c r="D31" s="107"/>
      <c r="E31" s="107"/>
      <c r="F31" s="255"/>
      <c r="G31" s="107"/>
      <c r="H31" s="107"/>
      <c r="I31" s="107"/>
      <c r="J31" s="143"/>
      <c r="K31" s="121"/>
    </row>
    <row r="32" spans="2:12" x14ac:dyDescent="0.25">
      <c r="B32" s="333" t="s">
        <v>175</v>
      </c>
      <c r="C32" s="116"/>
      <c r="D32" s="107"/>
      <c r="E32" s="107"/>
      <c r="F32" s="143"/>
      <c r="G32" s="107"/>
      <c r="H32" s="107"/>
      <c r="I32" s="107"/>
      <c r="J32" s="143"/>
      <c r="K32" s="121"/>
    </row>
    <row r="33" spans="2:11" x14ac:dyDescent="0.25">
      <c r="B33" s="333"/>
      <c r="C33" s="116" t="s">
        <v>721</v>
      </c>
      <c r="D33" s="107"/>
      <c r="E33" s="107"/>
      <c r="F33" s="143"/>
      <c r="G33" s="107"/>
      <c r="H33" s="107"/>
      <c r="I33" s="107"/>
      <c r="J33" s="143"/>
      <c r="K33" s="121"/>
    </row>
    <row r="34" spans="2:11" x14ac:dyDescent="0.25">
      <c r="B34" s="106"/>
      <c r="C34" s="334" t="s">
        <v>176</v>
      </c>
      <c r="D34" s="107"/>
      <c r="E34" s="107"/>
      <c r="F34" s="253"/>
      <c r="G34" s="107"/>
      <c r="H34" s="107"/>
      <c r="I34" s="107"/>
      <c r="J34" s="143"/>
      <c r="K34" s="121"/>
    </row>
    <row r="35" spans="2:11" x14ac:dyDescent="0.25">
      <c r="B35" s="108" t="s">
        <v>979</v>
      </c>
      <c r="C35" s="107"/>
      <c r="D35" s="107"/>
      <c r="E35" s="107"/>
      <c r="F35" s="253"/>
      <c r="G35" s="107"/>
      <c r="H35" s="107"/>
      <c r="I35" s="107"/>
      <c r="J35" s="143"/>
      <c r="K35" s="121"/>
    </row>
    <row r="36" spans="2:11" x14ac:dyDescent="0.25">
      <c r="B36" s="108" t="s">
        <v>980</v>
      </c>
      <c r="C36" s="107"/>
      <c r="D36" s="107"/>
      <c r="E36" s="107"/>
      <c r="F36" s="253"/>
      <c r="G36" s="107"/>
      <c r="H36" s="107"/>
      <c r="I36" s="107"/>
      <c r="J36" s="143"/>
      <c r="K36" s="121"/>
    </row>
    <row r="37" spans="2:11" x14ac:dyDescent="0.25">
      <c r="B37" s="106" t="s">
        <v>189</v>
      </c>
      <c r="C37" s="107"/>
      <c r="D37" s="107"/>
      <c r="E37" s="107"/>
      <c r="F37" s="143"/>
      <c r="G37" s="107"/>
      <c r="H37" s="107"/>
      <c r="I37" s="107"/>
      <c r="J37" s="143"/>
      <c r="K37" s="121"/>
    </row>
    <row r="38" spans="2:11" x14ac:dyDescent="0.25">
      <c r="B38" s="106"/>
      <c r="C38" s="107" t="s">
        <v>433</v>
      </c>
      <c r="D38" s="107"/>
      <c r="E38" s="107"/>
      <c r="F38" s="253"/>
      <c r="G38" s="107"/>
      <c r="H38" s="107"/>
      <c r="I38" s="107"/>
      <c r="J38" s="143"/>
      <c r="K38" s="121"/>
    </row>
    <row r="39" spans="2:11" x14ac:dyDescent="0.25">
      <c r="B39" s="106" t="s">
        <v>393</v>
      </c>
      <c r="C39" s="107"/>
      <c r="D39" s="107"/>
      <c r="E39" s="107"/>
      <c r="F39" s="143"/>
      <c r="G39" s="107"/>
      <c r="H39" s="107"/>
      <c r="I39" s="107"/>
      <c r="J39" s="143"/>
      <c r="K39" s="121"/>
    </row>
    <row r="40" spans="2:11" x14ac:dyDescent="0.25">
      <c r="B40" s="106"/>
      <c r="C40" s="107" t="s">
        <v>177</v>
      </c>
      <c r="D40" s="107"/>
      <c r="E40" s="107"/>
      <c r="F40" s="253"/>
      <c r="G40" s="107"/>
      <c r="H40" s="107"/>
      <c r="I40" s="107"/>
      <c r="J40" s="143"/>
      <c r="K40" s="121"/>
    </row>
    <row r="41" spans="2:11" x14ac:dyDescent="0.25">
      <c r="B41" s="108" t="s">
        <v>722</v>
      </c>
      <c r="C41" s="107"/>
      <c r="D41" s="107"/>
      <c r="E41" s="107"/>
      <c r="F41" s="143"/>
      <c r="G41" s="107"/>
      <c r="H41" s="107"/>
      <c r="I41" s="107"/>
      <c r="J41" s="143"/>
      <c r="K41" s="121"/>
    </row>
    <row r="42" spans="2:11" x14ac:dyDescent="0.25">
      <c r="B42" s="106"/>
      <c r="C42" s="117" t="s">
        <v>41</v>
      </c>
      <c r="D42" s="107"/>
      <c r="E42" s="107"/>
      <c r="F42" s="253"/>
      <c r="G42" s="107"/>
      <c r="H42" s="107"/>
      <c r="I42" s="107"/>
      <c r="J42" s="143"/>
      <c r="K42" s="121"/>
    </row>
    <row r="43" spans="2:11" x14ac:dyDescent="0.25">
      <c r="B43" s="108" t="s">
        <v>723</v>
      </c>
      <c r="C43" s="107"/>
      <c r="D43" s="107"/>
      <c r="E43" s="107"/>
      <c r="F43" s="143"/>
      <c r="G43" s="107"/>
      <c r="H43" s="107"/>
      <c r="I43" s="107"/>
      <c r="J43" s="143"/>
      <c r="K43" s="121"/>
    </row>
    <row r="44" spans="2:11" x14ac:dyDescent="0.25">
      <c r="B44" s="106"/>
      <c r="C44" s="117" t="s">
        <v>176</v>
      </c>
      <c r="D44" s="107"/>
      <c r="E44" s="107"/>
      <c r="F44" s="253"/>
      <c r="G44" s="107"/>
      <c r="H44" s="107"/>
      <c r="I44" s="107"/>
      <c r="J44" s="143"/>
      <c r="K44" s="121"/>
    </row>
    <row r="45" spans="2:11" x14ac:dyDescent="0.25">
      <c r="B45" s="106"/>
      <c r="C45" s="148" t="s">
        <v>724</v>
      </c>
      <c r="D45" s="107"/>
      <c r="E45" s="107"/>
      <c r="F45" s="253"/>
      <c r="G45" s="107"/>
      <c r="H45" s="107"/>
      <c r="I45" s="107"/>
      <c r="J45" s="143"/>
      <c r="K45" s="121"/>
    </row>
    <row r="46" spans="2:11" x14ac:dyDescent="0.25">
      <c r="B46" s="106"/>
      <c r="C46" s="148" t="s">
        <v>725</v>
      </c>
      <c r="D46" s="107"/>
      <c r="E46" s="107"/>
      <c r="F46" s="253"/>
      <c r="G46" s="107"/>
      <c r="H46" s="107"/>
      <c r="I46" s="107"/>
      <c r="J46" s="143"/>
      <c r="K46" s="121"/>
    </row>
    <row r="47" spans="2:11" x14ac:dyDescent="0.25">
      <c r="B47" s="108" t="s">
        <v>726</v>
      </c>
      <c r="C47" s="107"/>
      <c r="D47" s="107"/>
      <c r="E47" s="107"/>
      <c r="F47" s="143"/>
      <c r="G47" s="107"/>
      <c r="H47" s="107"/>
      <c r="I47" s="107"/>
      <c r="J47" s="143"/>
      <c r="K47" s="121"/>
    </row>
    <row r="48" spans="2:11" x14ac:dyDescent="0.25">
      <c r="B48" s="106"/>
      <c r="C48" s="148" t="s">
        <v>727</v>
      </c>
      <c r="D48" s="107"/>
      <c r="E48" s="107"/>
      <c r="F48" s="253"/>
      <c r="G48" s="107"/>
      <c r="H48" s="107"/>
      <c r="I48" s="107"/>
      <c r="J48" s="143"/>
      <c r="K48" s="121"/>
    </row>
    <row r="49" spans="2:11" x14ac:dyDescent="0.25">
      <c r="B49" s="106"/>
      <c r="C49" s="148" t="s">
        <v>728</v>
      </c>
      <c r="D49" s="107"/>
      <c r="E49" s="107"/>
      <c r="F49" s="253"/>
      <c r="G49" s="107"/>
      <c r="H49" s="107"/>
      <c r="I49" s="107"/>
      <c r="J49" s="143"/>
      <c r="K49" s="121"/>
    </row>
    <row r="50" spans="2:11" x14ac:dyDescent="0.25">
      <c r="B50" s="108" t="s">
        <v>729</v>
      </c>
      <c r="C50" s="107"/>
      <c r="D50" s="107"/>
      <c r="E50" s="107"/>
      <c r="F50" s="143"/>
      <c r="G50" s="107"/>
      <c r="H50" s="107"/>
      <c r="I50" s="107"/>
      <c r="J50" s="143"/>
      <c r="K50" s="121"/>
    </row>
    <row r="51" spans="2:11" x14ac:dyDescent="0.25">
      <c r="B51" s="106"/>
      <c r="C51" s="148" t="s">
        <v>727</v>
      </c>
      <c r="D51" s="107"/>
      <c r="E51" s="107"/>
      <c r="F51" s="253"/>
      <c r="G51" s="107"/>
      <c r="H51" s="107"/>
      <c r="I51" s="107"/>
      <c r="J51" s="143"/>
      <c r="K51" s="121"/>
    </row>
    <row r="52" spans="2:11" x14ac:dyDescent="0.25">
      <c r="B52" s="106"/>
      <c r="C52" s="148" t="s">
        <v>728</v>
      </c>
      <c r="D52" s="107"/>
      <c r="E52" s="107"/>
      <c r="F52" s="253"/>
      <c r="G52" s="107"/>
      <c r="H52" s="107"/>
      <c r="I52" s="107"/>
      <c r="J52" s="143"/>
      <c r="K52" s="121"/>
    </row>
    <row r="53" spans="2:11" x14ac:dyDescent="0.25">
      <c r="B53" s="108" t="s">
        <v>730</v>
      </c>
      <c r="C53" s="107"/>
      <c r="D53" s="107"/>
      <c r="E53" s="107"/>
      <c r="F53" s="253"/>
      <c r="G53" s="107"/>
      <c r="H53" s="107"/>
      <c r="I53" s="107"/>
      <c r="J53" s="143"/>
      <c r="K53" s="121"/>
    </row>
    <row r="54" spans="2:11" x14ac:dyDescent="0.25">
      <c r="B54" s="106"/>
      <c r="C54" s="107"/>
      <c r="D54" s="107"/>
      <c r="E54" s="107"/>
      <c r="F54" s="143"/>
      <c r="G54" s="107"/>
      <c r="H54" s="107"/>
      <c r="I54" s="107"/>
      <c r="J54" s="143"/>
      <c r="K54" s="121"/>
    </row>
    <row r="55" spans="2:11" x14ac:dyDescent="0.25">
      <c r="B55" s="106"/>
      <c r="C55" s="107"/>
      <c r="D55" s="107"/>
      <c r="E55" s="107"/>
      <c r="F55" s="143"/>
      <c r="G55" s="107"/>
      <c r="H55" s="107"/>
      <c r="I55" s="107"/>
      <c r="J55" s="143"/>
      <c r="K55" s="121"/>
    </row>
    <row r="56" spans="2:11" ht="13.8" thickBot="1" x14ac:dyDescent="0.3">
      <c r="B56" s="111"/>
      <c r="C56" s="112"/>
      <c r="D56" s="112"/>
      <c r="E56" s="112"/>
      <c r="F56" s="149"/>
      <c r="G56" s="112"/>
      <c r="H56" s="112"/>
      <c r="I56" s="112"/>
      <c r="J56" s="149"/>
      <c r="K56" s="150"/>
    </row>
  </sheetData>
  <sheetProtection algorithmName="SHA-512" hashValue="fDUkpyNx+uS/k+N3mJANoKmN9SltZSSCFWhWXL3HQbLHGeuUHdPJL/e1SyBfdJrK5QUxPmuouPKZDCxPOSFqoA==" saltValue="WRje8o5zUlkAfES2EsQfVA==" spinCount="100000" sheet="1" objects="1" scenarios="1" selectLockedCells="1"/>
  <protectedRanges>
    <protectedRange sqref="F5 F8:F9 J6:J15 F11:F12 F14:F17 J17 J19:J23 F19:F21 F23:F24 F26:F27 F29 F30:H30 F31 F34:F36 F38 F40 F42 F44:F46 F48:F49 F51:F53" name="Range3"/>
  </protectedRanges>
  <customSheetViews>
    <customSheetView guid="{BC429C65-53B8-4F97-88D2-74ECCD734800}" showGridLines="0" showRowCol="0" fitToPage="1" state="hidden">
      <pane xSplit="1" ySplit="1" topLeftCell="B2" activePane="bottomRight" state="frozen"/>
      <selection pane="bottomRight" activeCell="B3" sqref="B3:J3"/>
      <pageMargins left="0.25" right="0.25" top="0.75" bottom="0.75" header="0" footer="0.3"/>
      <printOptions horizontalCentered="1"/>
      <pageSetup scale="99" orientation="portrait" r:id="rId1"/>
      <headerFooter>
        <oddHeader>&amp;RPR</oddHeader>
      </headerFooter>
    </customSheetView>
  </customSheetViews>
  <mergeCells count="8">
    <mergeCell ref="B2:K2"/>
    <mergeCell ref="B3:K3"/>
    <mergeCell ref="B30:D30"/>
    <mergeCell ref="F30:H30"/>
    <mergeCell ref="B5:C5"/>
    <mergeCell ref="B7:C7"/>
    <mergeCell ref="B10:C10"/>
    <mergeCell ref="C21:D21"/>
  </mergeCells>
  <phoneticPr fontId="21" type="noConversion"/>
  <printOptions horizontalCentered="1"/>
  <pageMargins left="0.5" right="0.5" top="0.63" bottom="0" header="0" footer="0"/>
  <pageSetup orientation="portrait" r:id="rId2"/>
  <headerFooter>
    <oddHeader>&amp;RPR</oddHeader>
    <oddFooter>&amp;LADEM Form 32 DRAFT&amp;C2/2023&amp;R*M6 DRAFT</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6626" r:id="rId5" name="Button 2">
              <controlPr defaultSize="0" print="0" autoFill="0" autoPict="0" macro="[0]!deleteprGinputs">
                <anchor>
                  <from>
                    <xdr:col>0</xdr:col>
                    <xdr:colOff>228600</xdr:colOff>
                    <xdr:row>18</xdr:row>
                    <xdr:rowOff>144780</xdr:rowOff>
                  </from>
                  <to>
                    <xdr:col>0</xdr:col>
                    <xdr:colOff>746760</xdr:colOff>
                    <xdr:row>23</xdr:row>
                    <xdr:rowOff>60960</xdr:rowOff>
                  </to>
                </anchor>
              </controlPr>
            </control>
          </mc:Choice>
        </mc:AlternateContent>
        <mc:AlternateContent xmlns:mc="http://schemas.openxmlformats.org/markup-compatibility/2006">
          <mc:Choice Requires="x14">
            <control shapeId="26628" r:id="rId6" name="Button 4">
              <controlPr defaultSize="0" print="0" autoFill="0" autoPict="0" macro="[0]!one">
                <anchor>
                  <from>
                    <xdr:col>0</xdr:col>
                    <xdr:colOff>228600</xdr:colOff>
                    <xdr:row>14</xdr:row>
                    <xdr:rowOff>144780</xdr:rowOff>
                  </from>
                  <to>
                    <xdr:col>0</xdr:col>
                    <xdr:colOff>731520</xdr:colOff>
                    <xdr:row>18</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40</vt:i4>
      </vt:variant>
    </vt:vector>
  </HeadingPairs>
  <TitlesOfParts>
    <vt:vector size="79" baseType="lpstr">
      <vt:lpstr>MAIN TAB</vt:lpstr>
      <vt:lpstr>Fiscal Cover</vt:lpstr>
      <vt:lpstr>CP Part I Info</vt:lpstr>
      <vt:lpstr>CP Part I Page 2</vt:lpstr>
      <vt:lpstr>CP Part I Total</vt:lpstr>
      <vt:lpstr>Form "A" Office</vt:lpstr>
      <vt:lpstr>PR Part I Info</vt:lpstr>
      <vt:lpstr>PR Part I Page 2</vt:lpstr>
      <vt:lpstr>PR Part I Signatures</vt:lpstr>
      <vt:lpstr>PR Part I Total</vt:lpstr>
      <vt:lpstr>PR Form "A" Office</vt:lpstr>
      <vt:lpstr>PR Form "B" Field</vt:lpstr>
      <vt:lpstr>Postage shipping</vt:lpstr>
      <vt:lpstr>Equipment</vt:lpstr>
      <vt:lpstr>Maximum Rates</vt:lpstr>
      <vt:lpstr>Form "B" Field</vt:lpstr>
      <vt:lpstr>PR Form "C" Drilling</vt:lpstr>
      <vt:lpstr>PR Form "D" Other</vt:lpstr>
      <vt:lpstr>Initial Abatement</vt:lpstr>
      <vt:lpstr> Field Task</vt:lpstr>
      <vt:lpstr>Prelm Rprt</vt:lpstr>
      <vt:lpstr>Scdry additional well Plan Rpt</vt:lpstr>
      <vt:lpstr>NAMR GWM PLAN RPRT</vt:lpstr>
      <vt:lpstr>FP PlanReportMEMEField</vt:lpstr>
      <vt:lpstr>ARBCA</vt:lpstr>
      <vt:lpstr>Corrective Action Plans</vt:lpstr>
      <vt:lpstr>Corrective Action Reports Eng</vt:lpstr>
      <vt:lpstr>MW Abandon Plan Report Field</vt:lpstr>
      <vt:lpstr>Aquifer Pilot Pl Rpt Fld</vt:lpstr>
      <vt:lpstr>MISC Plans Reports</vt:lpstr>
      <vt:lpstr>PR Summary</vt:lpstr>
      <vt:lpstr>PR Form "E" Per Diem</vt:lpstr>
      <vt:lpstr>Form "C" Drilling</vt:lpstr>
      <vt:lpstr>Form "D" Other</vt:lpstr>
      <vt:lpstr>PR Form "F" Details</vt:lpstr>
      <vt:lpstr>Form "E" Per Diem</vt:lpstr>
      <vt:lpstr>Form "F" Details</vt:lpstr>
      <vt:lpstr>Form "G" Quote Details</vt:lpstr>
      <vt:lpstr>PR Form "G" Quote Details</vt:lpstr>
      <vt:lpstr>daily</vt:lpstr>
      <vt:lpstr>extend</vt:lpstr>
      <vt:lpstr>other</vt:lpstr>
      <vt:lpstr>over</vt:lpstr>
      <vt:lpstr>pass</vt:lpstr>
      <vt:lpstr>'Cost Summary'!Print_Area</vt:lpstr>
      <vt:lpstr>'CP Part I Info'!Print_Area</vt:lpstr>
      <vt:lpstr>'CP Part I Page 2'!Print_Area</vt:lpstr>
      <vt:lpstr>'CP Part I Total'!Print_Area</vt:lpstr>
      <vt:lpstr>'Form "A" Office'!Print_Area</vt:lpstr>
      <vt:lpstr>'Form "B" Field'!Print_Area</vt:lpstr>
      <vt:lpstr>'Form "C" Drilling'!Print_Area</vt:lpstr>
      <vt:lpstr>'Form "D" Other'!Print_Area</vt:lpstr>
      <vt:lpstr>'Form "E" Per Diem'!Print_Area</vt:lpstr>
      <vt:lpstr>'Form "F" Details'!Print_Area</vt:lpstr>
      <vt:lpstr>'Form "G" Quote Details'!Print_Area</vt:lpstr>
      <vt:lpstr>'MAIN TAB'!Print_Area</vt:lpstr>
      <vt:lpstr>'PR Form "A" Office'!Print_Area</vt:lpstr>
      <vt:lpstr>'PR Form "B" Field'!Print_Area</vt:lpstr>
      <vt:lpstr>'PR Form "C" Drilling'!Print_Area</vt:lpstr>
      <vt:lpstr>'PR Form "D" Other'!Print_Area</vt:lpstr>
      <vt:lpstr>'PR Form "E" Per Diem'!Print_Area</vt:lpstr>
      <vt:lpstr>'PR Form "F" Details'!Print_Area</vt:lpstr>
      <vt:lpstr>'PR Form "G" Quote Details'!Print_Area</vt:lpstr>
      <vt:lpstr>'PR Part I Info'!Print_Area</vt:lpstr>
      <vt:lpstr>'PR Part I Page 2'!Print_Area</vt:lpstr>
      <vt:lpstr>'PR Part I Signatures'!Print_Area</vt:lpstr>
      <vt:lpstr>'PR Part I Total'!Print_Area</vt:lpstr>
      <vt:lpstr>'PR Summary'!Print_Area</vt:lpstr>
      <vt:lpstr>Summary!Print_Area</vt:lpstr>
      <vt:lpstr>'Form "A" Office'!Print_Titles</vt:lpstr>
      <vt:lpstr>'Form "B" Field'!Print_Titles</vt:lpstr>
      <vt:lpstr>'Form "D" Other'!Print_Titles</vt:lpstr>
      <vt:lpstr>'Maximum Rates'!Print_Titles</vt:lpstr>
      <vt:lpstr>'PR Form "A" Office'!Print_Titles</vt:lpstr>
      <vt:lpstr>'PR Form "B" Field'!Print_Titles</vt:lpstr>
      <vt:lpstr>'PR Form "D" Other'!Print_Titles</vt:lpstr>
      <vt:lpstr>'PR Summary'!Print_Titles</vt:lpstr>
      <vt:lpstr>Summary!Print_Titles</vt:lpstr>
      <vt:lpstr>Round</vt:lpstr>
    </vt:vector>
  </TitlesOfParts>
  <Company>ADEM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JDean@adem.alabama.gov</dc:creator>
  <cp:lastModifiedBy>Johnson, Luke</cp:lastModifiedBy>
  <cp:lastPrinted>2025-02-27T13:43:01Z</cp:lastPrinted>
  <dcterms:created xsi:type="dcterms:W3CDTF">2010-12-23T14:26:21Z</dcterms:created>
  <dcterms:modified xsi:type="dcterms:W3CDTF">2025-02-27T17:41:45Z</dcterms:modified>
</cp:coreProperties>
</file>